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showObjects="placeholders"/>
  <mc:AlternateContent xmlns:mc="http://schemas.openxmlformats.org/markup-compatibility/2006">
    <mc:Choice Requires="x15">
      <x15ac:absPath xmlns:x15ac="http://schemas.microsoft.com/office/spreadsheetml/2010/11/ac" url="N:\OPERATIONS &amp; MAINTENANCE\Administration\EX MONTHLY PRODUCTION\"/>
    </mc:Choice>
  </mc:AlternateContent>
  <xr:revisionPtr revIDLastSave="0" documentId="13_ncr:1_{F2B2FBED-5E6F-4829-ADE1-A38A3A28ED27}" xr6:coauthVersionLast="40" xr6:coauthVersionMax="40" xr10:uidLastSave="{00000000-0000-0000-0000-000000000000}"/>
  <bookViews>
    <workbookView xWindow="-120" yWindow="-120" windowWidth="29040" windowHeight="15840" tabRatio="925" activeTab="1" xr2:uid="{00000000-000D-0000-FFFF-FFFF00000000}"/>
  </bookViews>
  <sheets>
    <sheet name="Wellrd" sheetId="13" r:id="rId1"/>
    <sheet name="Prod Data" sheetId="24" r:id="rId2"/>
    <sheet name="Tier I Avail" sheetId="28" r:id="rId3"/>
    <sheet name="Loc Rpt" sheetId="2" r:id="rId4"/>
    <sheet name="totrpt 1,19" sheetId="38" r:id="rId5"/>
    <sheet name="totrpt2" sheetId="3" r:id="rId6"/>
    <sheet name="SCE Charges" sheetId="26" r:id="rId7"/>
    <sheet name="HiLoFlow" sheetId="37" r:id="rId8"/>
    <sheet name="AgRpt" sheetId="35" r:id="rId9"/>
    <sheet name="Dist 1 Trends" sheetId="39" r:id="rId10"/>
    <sheet name="Dist 19 Trends" sheetId="40" r:id="rId11"/>
    <sheet name="Dist 17 Trends" sheetId="41" r:id="rId12"/>
    <sheet name="LSCSD Trends" sheetId="42" r:id="rId13"/>
    <sheet name="GMA Allocs" sheetId="16" r:id="rId14"/>
    <sheet name="GMA Trans CMWD" sheetId="29" state="hidden" r:id="rId15"/>
    <sheet name="PWRR" sheetId="22" r:id="rId16"/>
    <sheet name="PRINT" sheetId="17" state="hidden" r:id="rId17"/>
    <sheet name="scratchpad" sheetId="25" state="hidden" r:id="rId18"/>
  </sheets>
  <definedNames>
    <definedName name="_xlnm.Print_Area" localSheetId="8">AgRpt!$A$75:$U$105</definedName>
    <definedName name="_xlnm.Print_Area" localSheetId="9">'Dist 1 Trends'!$A$1:$W$53</definedName>
    <definedName name="_xlnm.Print_Area" localSheetId="11">'Dist 17 Trends'!$A$1:$W$17</definedName>
    <definedName name="_xlnm.Print_Area" localSheetId="10">'Dist 19 Trends'!$A$1:$W$53</definedName>
    <definedName name="_xlnm.Print_Area" localSheetId="7">HiLoFlow!#REF!</definedName>
    <definedName name="_xlnm.Print_Area" localSheetId="3">'Loc Rpt'!$A$11:$J$58</definedName>
    <definedName name="_xlnm.Print_Area" localSheetId="12">'LSCSD Trends'!$A$1:$W$17</definedName>
    <definedName name="_xlnm.Print_Area" localSheetId="15">PWRR!$A$1:$K$119</definedName>
    <definedName name="_xlnm.Print_Area" localSheetId="6">'SCE Charges'!$A$309:$Q$324</definedName>
    <definedName name="_xlnm.Print_Area" localSheetId="2">'Tier I Avail'!$A$1:$M$57</definedName>
    <definedName name="_xlnm.Print_Area" localSheetId="4">'totrpt 1,19'!$A$169:$P$228</definedName>
    <definedName name="_xlnm.Print_Area" localSheetId="5">totrpt2!$J$1:$AL$55</definedName>
    <definedName name="_xlnm.Print_Area" localSheetId="0">Wellrd!$A$1:$L$24</definedName>
    <definedName name="_xlnm.Print_Titles" localSheetId="8">AgRpt!$A:$A</definedName>
    <definedName name="_xlnm.Print_Titles" localSheetId="6">'SCE Charges'!$1:$3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8" i="24" l="1"/>
  <c r="G90" i="24"/>
  <c r="H87" i="24"/>
  <c r="F86" i="24"/>
  <c r="G86" i="24" s="1"/>
  <c r="H86" i="24" s="1"/>
  <c r="G94" i="24" l="1"/>
  <c r="M219" i="38"/>
  <c r="AB219" i="38"/>
  <c r="E24" i="13" l="1"/>
  <c r="E15" i="13"/>
  <c r="AB218" i="38" l="1"/>
  <c r="M218" i="38"/>
  <c r="L223" i="38" l="1"/>
  <c r="L211" i="38"/>
  <c r="L206" i="38"/>
  <c r="L189" i="38"/>
  <c r="M217" i="38" l="1"/>
  <c r="AB217" i="38"/>
  <c r="AD190" i="38" l="1"/>
  <c r="AA190" i="38" l="1"/>
  <c r="S190" i="38"/>
  <c r="T190" i="38"/>
  <c r="U190" i="38"/>
  <c r="V190" i="38"/>
  <c r="W190" i="38"/>
  <c r="X190" i="38"/>
  <c r="Y190" i="38"/>
  <c r="Z190" i="38"/>
  <c r="R190" i="38"/>
  <c r="AD207" i="38"/>
  <c r="S207" i="38"/>
  <c r="T207" i="38"/>
  <c r="U207" i="38"/>
  <c r="V207" i="38"/>
  <c r="W207" i="38"/>
  <c r="X207" i="38"/>
  <c r="Y207" i="38"/>
  <c r="Z207" i="38"/>
  <c r="R207" i="38"/>
  <c r="AA207" i="38"/>
  <c r="M216" i="38" l="1"/>
  <c r="AB216" i="38"/>
  <c r="AB189" i="38"/>
  <c r="T106" i="35" l="1"/>
  <c r="T105" i="35"/>
  <c r="T104" i="35"/>
  <c r="T103" i="35"/>
  <c r="T102" i="35"/>
  <c r="T87" i="35"/>
  <c r="T90" i="35"/>
  <c r="T89" i="35"/>
  <c r="T88" i="35"/>
  <c r="T86" i="35"/>
  <c r="T85" i="35"/>
  <c r="T84" i="35"/>
  <c r="T83" i="35"/>
  <c r="T82" i="35"/>
  <c r="T81" i="35"/>
  <c r="T77" i="35"/>
  <c r="U77" i="35"/>
  <c r="U78" i="35"/>
  <c r="U79" i="35"/>
  <c r="T78" i="35"/>
  <c r="AF220" i="38"/>
  <c r="AF203" i="38"/>
  <c r="AF186" i="38"/>
  <c r="AF185" i="38"/>
  <c r="M215" i="38" l="1"/>
  <c r="AB215" i="38"/>
  <c r="E56" i="24" l="1"/>
  <c r="AB214" i="38" l="1"/>
  <c r="M214" i="38" l="1"/>
  <c r="E22" i="39" l="1"/>
  <c r="E23" i="39"/>
  <c r="E4" i="39"/>
  <c r="E5" i="39"/>
  <c r="E4" i="40"/>
  <c r="E5" i="40"/>
  <c r="E22" i="40"/>
  <c r="E23" i="40"/>
  <c r="E4" i="41"/>
  <c r="E5" i="41"/>
  <c r="J5" i="42"/>
  <c r="E4" i="42"/>
  <c r="J4" i="42" s="1"/>
  <c r="E5" i="42"/>
  <c r="AB213" i="38"/>
  <c r="E41" i="40" s="1"/>
  <c r="M213" i="38"/>
  <c r="E41" i="39" s="1"/>
  <c r="J345" i="26" l="1"/>
  <c r="L85" i="37"/>
  <c r="J85" i="37"/>
  <c r="I85" i="37"/>
  <c r="F85" i="37"/>
  <c r="C85" i="37"/>
  <c r="O85" i="37" s="1"/>
  <c r="O83" i="37"/>
  <c r="G83" i="37"/>
  <c r="D83" i="37"/>
  <c r="O82" i="37"/>
  <c r="G82" i="37"/>
  <c r="D82" i="37"/>
  <c r="O81" i="37"/>
  <c r="G81" i="37"/>
  <c r="D81" i="37"/>
  <c r="P81" i="37" s="1"/>
  <c r="O80" i="37"/>
  <c r="G80" i="37"/>
  <c r="D80" i="37"/>
  <c r="O79" i="37"/>
  <c r="G79" i="37"/>
  <c r="D79" i="37"/>
  <c r="O78" i="37"/>
  <c r="M78" i="37"/>
  <c r="M85" i="37" s="1"/>
  <c r="G78" i="37"/>
  <c r="D78" i="37"/>
  <c r="O77" i="37"/>
  <c r="G77" i="37"/>
  <c r="D77" i="37"/>
  <c r="O76" i="37"/>
  <c r="G76" i="37"/>
  <c r="D76" i="37"/>
  <c r="O75" i="37"/>
  <c r="G75" i="37"/>
  <c r="D75" i="37"/>
  <c r="O74" i="37"/>
  <c r="G74" i="37"/>
  <c r="D74" i="37"/>
  <c r="O73" i="37"/>
  <c r="G73" i="37"/>
  <c r="D73" i="37"/>
  <c r="O72" i="37"/>
  <c r="G72" i="37"/>
  <c r="D72" i="37"/>
  <c r="L41" i="37"/>
  <c r="I41" i="37"/>
  <c r="F41" i="37"/>
  <c r="C41" i="37"/>
  <c r="O41" i="37" s="1"/>
  <c r="O40" i="37"/>
  <c r="D40" i="37"/>
  <c r="O39" i="37"/>
  <c r="G39" i="37"/>
  <c r="D39" i="37"/>
  <c r="P39" i="37" s="1"/>
  <c r="O38" i="37"/>
  <c r="G38" i="37"/>
  <c r="P38" i="37" s="1"/>
  <c r="D38" i="37"/>
  <c r="O37" i="37"/>
  <c r="G37" i="37"/>
  <c r="D37" i="37"/>
  <c r="P37" i="37" s="1"/>
  <c r="O36" i="37"/>
  <c r="J36" i="37"/>
  <c r="J41" i="37" s="1"/>
  <c r="G36" i="37"/>
  <c r="D36" i="37"/>
  <c r="O35" i="37"/>
  <c r="G35" i="37"/>
  <c r="D35" i="37"/>
  <c r="P35" i="37" s="1"/>
  <c r="P34" i="37"/>
  <c r="O34" i="37"/>
  <c r="G34" i="37"/>
  <c r="D34" i="37"/>
  <c r="O33" i="37"/>
  <c r="G33" i="37"/>
  <c r="D33" i="37"/>
  <c r="P33" i="37" s="1"/>
  <c r="O32" i="37"/>
  <c r="G32" i="37"/>
  <c r="P32" i="37" s="1"/>
  <c r="D32" i="37"/>
  <c r="O31" i="37"/>
  <c r="G31" i="37"/>
  <c r="D31" i="37"/>
  <c r="P31" i="37" s="1"/>
  <c r="O30" i="37"/>
  <c r="G30" i="37"/>
  <c r="P30" i="37" s="1"/>
  <c r="D30" i="37"/>
  <c r="O29" i="37"/>
  <c r="G29" i="37"/>
  <c r="D29" i="37"/>
  <c r="P29" i="37" s="1"/>
  <c r="O28" i="37"/>
  <c r="G28" i="37"/>
  <c r="G41" i="37" s="1"/>
  <c r="D28" i="37"/>
  <c r="P73" i="37" l="1"/>
  <c r="P78" i="37"/>
  <c r="P79" i="37"/>
  <c r="P28" i="37"/>
  <c r="P74" i="37"/>
  <c r="P77" i="37"/>
  <c r="P82" i="37"/>
  <c r="P76" i="37"/>
  <c r="G85" i="37"/>
  <c r="P75" i="37"/>
  <c r="P80" i="37"/>
  <c r="D41" i="37"/>
  <c r="P41" i="37" s="1"/>
  <c r="P36" i="37"/>
  <c r="P83" i="37"/>
  <c r="D85" i="37"/>
  <c r="P85" i="37" s="1"/>
  <c r="P72" i="37"/>
  <c r="AB212" i="38"/>
  <c r="E40" i="40" s="1"/>
  <c r="M212" i="38"/>
  <c r="E40" i="39" s="1"/>
  <c r="M211" i="38" l="1"/>
  <c r="AB211" i="38"/>
  <c r="P105" i="35" l="1"/>
  <c r="P89" i="35" l="1"/>
  <c r="E3" i="42" l="1"/>
  <c r="J3" i="42" s="1"/>
  <c r="E3" i="41"/>
  <c r="E39" i="40"/>
  <c r="E21" i="40"/>
  <c r="E3" i="40"/>
  <c r="E39" i="39"/>
  <c r="E21" i="39"/>
  <c r="E3" i="39"/>
  <c r="D7" i="42"/>
  <c r="D8" i="42"/>
  <c r="D9" i="42"/>
  <c r="D10" i="42"/>
  <c r="D11" i="42"/>
  <c r="D12" i="42"/>
  <c r="D13" i="42"/>
  <c r="D14" i="42"/>
  <c r="D6" i="41"/>
  <c r="D7" i="41"/>
  <c r="D8" i="41"/>
  <c r="D9" i="41"/>
  <c r="D10" i="41"/>
  <c r="D11" i="41"/>
  <c r="D12" i="41"/>
  <c r="D13" i="41"/>
  <c r="D14" i="41"/>
  <c r="D7" i="40"/>
  <c r="D8" i="40"/>
  <c r="D9" i="40"/>
  <c r="D10" i="40"/>
  <c r="D11" i="40"/>
  <c r="D12" i="40"/>
  <c r="D13" i="40"/>
  <c r="D14" i="40"/>
  <c r="D25" i="40"/>
  <c r="D26" i="40"/>
  <c r="D27" i="40"/>
  <c r="D28" i="40"/>
  <c r="D29" i="40"/>
  <c r="D30" i="40"/>
  <c r="D31" i="40"/>
  <c r="D32" i="40"/>
  <c r="D25" i="39"/>
  <c r="D26" i="39"/>
  <c r="D27" i="39"/>
  <c r="D28" i="39"/>
  <c r="D29" i="39"/>
  <c r="D30" i="39"/>
  <c r="D31" i="39"/>
  <c r="D32" i="39"/>
  <c r="D7" i="39"/>
  <c r="D8" i="39"/>
  <c r="D9" i="39"/>
  <c r="D10" i="39"/>
  <c r="D11" i="39"/>
  <c r="D12" i="39"/>
  <c r="D13" i="39"/>
  <c r="D14" i="39"/>
  <c r="AD172" i="38"/>
  <c r="AD171" i="38"/>
  <c r="N172" i="38"/>
  <c r="N171" i="38"/>
  <c r="O355" i="26" l="1"/>
  <c r="N355" i="26"/>
  <c r="I355" i="26"/>
  <c r="J355" i="26" s="1"/>
  <c r="H355" i="26"/>
  <c r="C355" i="26"/>
  <c r="D355" i="26" s="1"/>
  <c r="B355" i="26"/>
  <c r="P354" i="26"/>
  <c r="J354" i="26"/>
  <c r="D354" i="26"/>
  <c r="P353" i="26"/>
  <c r="J353" i="26"/>
  <c r="D353" i="26"/>
  <c r="P352" i="26"/>
  <c r="J352" i="26"/>
  <c r="D352" i="26"/>
  <c r="P351" i="26"/>
  <c r="J351" i="26"/>
  <c r="D351" i="26"/>
  <c r="P350" i="26"/>
  <c r="J350" i="26"/>
  <c r="D350" i="26"/>
  <c r="P349" i="26"/>
  <c r="J349" i="26"/>
  <c r="D349" i="26"/>
  <c r="P348" i="26"/>
  <c r="J348" i="26"/>
  <c r="D348" i="26"/>
  <c r="P347" i="26"/>
  <c r="J347" i="26"/>
  <c r="D347" i="26"/>
  <c r="P346" i="26"/>
  <c r="J346" i="26"/>
  <c r="D346" i="26"/>
  <c r="P345" i="26"/>
  <c r="D345" i="26"/>
  <c r="P344" i="26"/>
  <c r="J344" i="26"/>
  <c r="D344" i="26"/>
  <c r="P343" i="26"/>
  <c r="J343" i="26"/>
  <c r="D343" i="26"/>
  <c r="P355" i="26" l="1"/>
  <c r="AA222" i="38"/>
  <c r="D50" i="40" s="1"/>
  <c r="L222" i="38"/>
  <c r="D50" i="39" s="1"/>
  <c r="L55" i="28"/>
  <c r="AA221" i="38" l="1"/>
  <c r="D49" i="40" s="1"/>
  <c r="L221" i="38"/>
  <c r="D49" i="39" s="1"/>
  <c r="C53" i="28" l="1"/>
  <c r="AA220" i="38" l="1"/>
  <c r="D48" i="40" s="1"/>
  <c r="L220" i="38"/>
  <c r="D48" i="39" s="1"/>
  <c r="L219" i="38" l="1"/>
  <c r="D47" i="39" s="1"/>
  <c r="AA219" i="38"/>
  <c r="D47" i="40" s="1"/>
  <c r="E24" i="24" l="1"/>
  <c r="F24" i="24" s="1"/>
  <c r="AA218" i="38"/>
  <c r="D46" i="40" s="1"/>
  <c r="L218" i="38"/>
  <c r="D46" i="39" s="1"/>
  <c r="G24" i="24" l="1"/>
  <c r="AF202" i="38" l="1"/>
  <c r="AF201" i="38"/>
  <c r="AF184" i="38"/>
  <c r="AA217" i="38"/>
  <c r="D45" i="40" s="1"/>
  <c r="O172" i="38"/>
  <c r="AF172" i="38"/>
  <c r="AF171" i="38"/>
  <c r="L217" i="38" l="1"/>
  <c r="D45" i="39" s="1"/>
  <c r="AA216" i="38" l="1"/>
  <c r="D44" i="40" s="1"/>
  <c r="L216" i="38"/>
  <c r="D44" i="39" s="1"/>
  <c r="E53" i="24"/>
  <c r="E55" i="24"/>
  <c r="AL13" i="3" l="1"/>
  <c r="W13" i="3"/>
  <c r="P203" i="38"/>
  <c r="P186" i="38"/>
  <c r="AA215" i="38" l="1"/>
  <c r="D43" i="40" s="1"/>
  <c r="L215" i="38" l="1"/>
  <c r="D43" i="39" s="1"/>
  <c r="D5" i="41" l="1"/>
  <c r="D24" i="39" l="1"/>
  <c r="D6" i="39"/>
  <c r="D24" i="40"/>
  <c r="D6" i="40"/>
  <c r="D6" i="42"/>
  <c r="AA214" i="38"/>
  <c r="D42" i="40" s="1"/>
  <c r="L214" i="38"/>
  <c r="D42" i="39" s="1"/>
  <c r="D5" i="42" l="1"/>
  <c r="D4" i="42"/>
  <c r="D4" i="41"/>
  <c r="D3" i="41"/>
  <c r="D23" i="40"/>
  <c r="D22" i="40"/>
  <c r="D5" i="40"/>
  <c r="D4" i="40"/>
  <c r="D4" i="39"/>
  <c r="D5" i="39"/>
  <c r="D22" i="39"/>
  <c r="D23" i="39"/>
  <c r="AA213" i="38" l="1"/>
  <c r="D41" i="40" s="1"/>
  <c r="L213" i="38"/>
  <c r="D41" i="39" s="1"/>
  <c r="G89" i="24"/>
  <c r="G51" i="37" l="1"/>
  <c r="G52" i="37"/>
  <c r="G53" i="37"/>
  <c r="G54" i="37"/>
  <c r="G55" i="37"/>
  <c r="G56" i="37"/>
  <c r="G57" i="37"/>
  <c r="G58" i="37"/>
  <c r="G59" i="37"/>
  <c r="G60" i="37"/>
  <c r="G61" i="37"/>
  <c r="G50" i="37"/>
  <c r="D51" i="37"/>
  <c r="D52" i="37"/>
  <c r="D53" i="37"/>
  <c r="D54" i="37"/>
  <c r="D55" i="37"/>
  <c r="D56" i="37"/>
  <c r="D57" i="37"/>
  <c r="D58" i="37"/>
  <c r="D59" i="37"/>
  <c r="D60" i="37"/>
  <c r="D61" i="37"/>
  <c r="D50" i="37"/>
  <c r="J14" i="37"/>
  <c r="G7" i="37"/>
  <c r="G8" i="37"/>
  <c r="G9" i="37"/>
  <c r="G10" i="37"/>
  <c r="G11" i="37"/>
  <c r="G12" i="37"/>
  <c r="G13" i="37"/>
  <c r="G14" i="37"/>
  <c r="G15" i="37"/>
  <c r="G16" i="37"/>
  <c r="G17" i="37"/>
  <c r="G6" i="37"/>
  <c r="D7" i="37"/>
  <c r="D8" i="37"/>
  <c r="D9" i="37"/>
  <c r="D10" i="37"/>
  <c r="D11" i="37"/>
  <c r="D12" i="37"/>
  <c r="D13" i="37"/>
  <c r="D14" i="37"/>
  <c r="D15" i="37"/>
  <c r="D16" i="37"/>
  <c r="D17" i="37"/>
  <c r="D6" i="37"/>
  <c r="L212" i="38" l="1"/>
  <c r="D40" i="39" s="1"/>
  <c r="AA212" i="38"/>
  <c r="D40" i="40" s="1"/>
  <c r="I3" i="41" l="1"/>
  <c r="I4" i="41" s="1"/>
  <c r="I5" i="41" s="1"/>
  <c r="I6" i="41" s="1"/>
  <c r="I7" i="41" s="1"/>
  <c r="I8" i="41" s="1"/>
  <c r="I9" i="41" s="1"/>
  <c r="I10" i="41" s="1"/>
  <c r="I11" i="41" s="1"/>
  <c r="I12" i="41" s="1"/>
  <c r="I13" i="41" s="1"/>
  <c r="I14" i="41" s="1"/>
  <c r="I39" i="40"/>
  <c r="I40" i="40" s="1"/>
  <c r="I41" i="40" s="1"/>
  <c r="I42" i="40" s="1"/>
  <c r="I43" i="40" s="1"/>
  <c r="I44" i="40" s="1"/>
  <c r="I45" i="40" s="1"/>
  <c r="I46" i="40" s="1"/>
  <c r="I47" i="40" s="1"/>
  <c r="I48" i="40" s="1"/>
  <c r="I49" i="40" s="1"/>
  <c r="I50" i="40" s="1"/>
  <c r="I21" i="40"/>
  <c r="I22" i="40" s="1"/>
  <c r="I23" i="40" s="1"/>
  <c r="I24" i="40" s="1"/>
  <c r="I25" i="40" s="1"/>
  <c r="I26" i="40" s="1"/>
  <c r="I27" i="40" s="1"/>
  <c r="I28" i="40" s="1"/>
  <c r="I29" i="40" s="1"/>
  <c r="I30" i="40" s="1"/>
  <c r="I31" i="40" s="1"/>
  <c r="I32" i="40" s="1"/>
  <c r="I3" i="40"/>
  <c r="I4" i="40" s="1"/>
  <c r="I5" i="40" s="1"/>
  <c r="I6" i="40" s="1"/>
  <c r="I7" i="40" s="1"/>
  <c r="I8" i="40" s="1"/>
  <c r="I9" i="40" s="1"/>
  <c r="I10" i="40" s="1"/>
  <c r="I11" i="40" s="1"/>
  <c r="I12" i="40" s="1"/>
  <c r="I13" i="40" s="1"/>
  <c r="I14" i="40" s="1"/>
  <c r="D21" i="39"/>
  <c r="I21" i="39" s="1"/>
  <c r="I22" i="39" s="1"/>
  <c r="I23" i="39" s="1"/>
  <c r="I24" i="39" s="1"/>
  <c r="I25" i="39" s="1"/>
  <c r="I26" i="39" s="1"/>
  <c r="I27" i="39" s="1"/>
  <c r="I28" i="39" s="1"/>
  <c r="I29" i="39" s="1"/>
  <c r="I30" i="39" s="1"/>
  <c r="I31" i="39" s="1"/>
  <c r="I32" i="39" s="1"/>
  <c r="D3" i="39"/>
  <c r="I3" i="39" s="1"/>
  <c r="I4" i="39" s="1"/>
  <c r="I5" i="39" s="1"/>
  <c r="I6" i="39" s="1"/>
  <c r="I7" i="39" s="1"/>
  <c r="I8" i="39" s="1"/>
  <c r="I9" i="39" s="1"/>
  <c r="I10" i="39" s="1"/>
  <c r="I11" i="39" s="1"/>
  <c r="I12" i="39" s="1"/>
  <c r="I13" i="39" s="1"/>
  <c r="I14" i="39" s="1"/>
  <c r="O339" i="26"/>
  <c r="N339" i="26"/>
  <c r="I339" i="26"/>
  <c r="J339" i="26" s="1"/>
  <c r="H339" i="26"/>
  <c r="C339" i="26"/>
  <c r="D339" i="26" s="1"/>
  <c r="B339" i="26"/>
  <c r="P338" i="26"/>
  <c r="J338" i="26"/>
  <c r="D338" i="26"/>
  <c r="P337" i="26"/>
  <c r="J337" i="26"/>
  <c r="D337" i="26"/>
  <c r="P336" i="26"/>
  <c r="J336" i="26"/>
  <c r="D336" i="26"/>
  <c r="P335" i="26"/>
  <c r="J335" i="26"/>
  <c r="D335" i="26"/>
  <c r="P334" i="26"/>
  <c r="J334" i="26"/>
  <c r="D334" i="26"/>
  <c r="P333" i="26"/>
  <c r="J333" i="26"/>
  <c r="D333" i="26"/>
  <c r="P332" i="26"/>
  <c r="J332" i="26"/>
  <c r="D332" i="26"/>
  <c r="P331" i="26"/>
  <c r="J331" i="26"/>
  <c r="D331" i="26"/>
  <c r="P330" i="26"/>
  <c r="J330" i="26"/>
  <c r="D330" i="26"/>
  <c r="P329" i="26"/>
  <c r="J329" i="26"/>
  <c r="D329" i="26"/>
  <c r="P328" i="26"/>
  <c r="J328" i="26"/>
  <c r="D328" i="26"/>
  <c r="P327" i="26"/>
  <c r="J327" i="26"/>
  <c r="D327" i="26"/>
  <c r="P339" i="26" l="1"/>
  <c r="L19" i="37"/>
  <c r="I19" i="37"/>
  <c r="F19" i="37"/>
  <c r="C19" i="37"/>
  <c r="O18" i="37"/>
  <c r="D18" i="37"/>
  <c r="O17" i="37"/>
  <c r="P17" i="37"/>
  <c r="O16" i="37"/>
  <c r="P16" i="37"/>
  <c r="O15" i="37"/>
  <c r="O14" i="37"/>
  <c r="J19" i="37"/>
  <c r="P14" i="37"/>
  <c r="O13" i="37"/>
  <c r="O12" i="37"/>
  <c r="O11" i="37"/>
  <c r="P11" i="37"/>
  <c r="O10" i="37"/>
  <c r="P10" i="37"/>
  <c r="O9" i="37"/>
  <c r="O8" i="37"/>
  <c r="P8" i="37"/>
  <c r="O7" i="37"/>
  <c r="P7" i="37"/>
  <c r="O6" i="37"/>
  <c r="M63" i="37"/>
  <c r="L63" i="37"/>
  <c r="J63" i="37"/>
  <c r="I63" i="37"/>
  <c r="F63" i="37"/>
  <c r="C63" i="37"/>
  <c r="O61" i="37"/>
  <c r="P61" i="37"/>
  <c r="O60" i="37"/>
  <c r="P60" i="37"/>
  <c r="O59" i="37"/>
  <c r="O58" i="37"/>
  <c r="P58" i="37"/>
  <c r="O57" i="37"/>
  <c r="O56" i="37"/>
  <c r="O55" i="37"/>
  <c r="P55" i="37"/>
  <c r="O54" i="37"/>
  <c r="O53" i="37"/>
  <c r="O52" i="37"/>
  <c r="O51" i="37"/>
  <c r="O50" i="37"/>
  <c r="AA211" i="38"/>
  <c r="D39" i="39"/>
  <c r="I39" i="39" s="1"/>
  <c r="I40" i="39" s="1"/>
  <c r="I41" i="39" s="1"/>
  <c r="I42" i="39" s="1"/>
  <c r="I43" i="39" s="1"/>
  <c r="I44" i="39" s="1"/>
  <c r="I45" i="39" s="1"/>
  <c r="I46" i="39" s="1"/>
  <c r="I47" i="39" s="1"/>
  <c r="I48" i="39" s="1"/>
  <c r="I49" i="39" s="1"/>
  <c r="I50" i="39" s="1"/>
  <c r="D63" i="37" l="1"/>
  <c r="P13" i="37"/>
  <c r="P15" i="37"/>
  <c r="P6" i="37"/>
  <c r="P52" i="37"/>
  <c r="P54" i="37"/>
  <c r="G19" i="37"/>
  <c r="P9" i="37"/>
  <c r="O19" i="37"/>
  <c r="P57" i="37"/>
  <c r="P12" i="37"/>
  <c r="D19" i="37"/>
  <c r="P59" i="37"/>
  <c r="G63" i="37"/>
  <c r="P50" i="37"/>
  <c r="P53" i="37"/>
  <c r="P51" i="37"/>
  <c r="P56" i="37"/>
  <c r="O63" i="37"/>
  <c r="Z222" i="38"/>
  <c r="K222" i="38"/>
  <c r="P63" i="37" l="1"/>
  <c r="P19" i="37"/>
  <c r="E4" i="24"/>
  <c r="K221" i="38" l="1"/>
  <c r="Z221" i="38" l="1"/>
  <c r="C49" i="39" l="1"/>
  <c r="C50" i="39"/>
  <c r="C22" i="39"/>
  <c r="C23" i="39"/>
  <c r="C24" i="39"/>
  <c r="C25" i="39"/>
  <c r="C26" i="39"/>
  <c r="C27" i="39"/>
  <c r="C28" i="39"/>
  <c r="F28" i="39" s="1"/>
  <c r="C29" i="39"/>
  <c r="F29" i="39" s="1"/>
  <c r="C30" i="39"/>
  <c r="F30" i="39" s="1"/>
  <c r="C31" i="39"/>
  <c r="F31" i="39" s="1"/>
  <c r="C32" i="39"/>
  <c r="F32" i="39" s="1"/>
  <c r="C21" i="39"/>
  <c r="H21" i="39" s="1"/>
  <c r="C4" i="39"/>
  <c r="C5" i="39"/>
  <c r="C6" i="39"/>
  <c r="C7" i="39"/>
  <c r="C8" i="39"/>
  <c r="C9" i="39"/>
  <c r="C10" i="39"/>
  <c r="F10" i="39" s="1"/>
  <c r="C11" i="39"/>
  <c r="F11" i="39" s="1"/>
  <c r="C12" i="39"/>
  <c r="F12" i="39" s="1"/>
  <c r="C13" i="39"/>
  <c r="F13" i="39" s="1"/>
  <c r="C14" i="39"/>
  <c r="F14" i="39" s="1"/>
  <c r="C3" i="39"/>
  <c r="H3" i="39" s="1"/>
  <c r="C49" i="40"/>
  <c r="C50" i="40"/>
  <c r="C22" i="40"/>
  <c r="C23" i="40"/>
  <c r="C24" i="40"/>
  <c r="C25" i="40"/>
  <c r="C26" i="40"/>
  <c r="C27" i="40"/>
  <c r="C28" i="40"/>
  <c r="C29" i="40"/>
  <c r="C30" i="40"/>
  <c r="C31" i="40"/>
  <c r="C32" i="40"/>
  <c r="C21" i="40"/>
  <c r="H21" i="40" s="1"/>
  <c r="C4" i="40"/>
  <c r="C5" i="40"/>
  <c r="C6" i="40"/>
  <c r="C7" i="40"/>
  <c r="C8" i="40"/>
  <c r="C9" i="40"/>
  <c r="C10" i="40"/>
  <c r="F10" i="40" s="1"/>
  <c r="C11" i="40"/>
  <c r="F11" i="40" s="1"/>
  <c r="C12" i="40"/>
  <c r="F12" i="40" s="1"/>
  <c r="C13" i="40"/>
  <c r="F13" i="40" s="1"/>
  <c r="C14" i="40"/>
  <c r="F14" i="40" s="1"/>
  <c r="C3" i="40"/>
  <c r="H3" i="40" s="1"/>
  <c r="H22" i="40" l="1"/>
  <c r="H23" i="40" s="1"/>
  <c r="H24" i="40" s="1"/>
  <c r="H25" i="40" s="1"/>
  <c r="H26" i="40" s="1"/>
  <c r="H27" i="40" s="1"/>
  <c r="H28" i="40" s="1"/>
  <c r="H29" i="40" s="1"/>
  <c r="H30" i="40" s="1"/>
  <c r="H31" i="40" s="1"/>
  <c r="H4" i="40"/>
  <c r="H4" i="39"/>
  <c r="H22" i="39"/>
  <c r="C4" i="41"/>
  <c r="C5" i="41"/>
  <c r="C6" i="41"/>
  <c r="C7" i="41"/>
  <c r="C8" i="41"/>
  <c r="F8" i="41" s="1"/>
  <c r="C9" i="41"/>
  <c r="F9" i="41" s="1"/>
  <c r="C10" i="41"/>
  <c r="F10" i="41" s="1"/>
  <c r="C11" i="41"/>
  <c r="F11" i="41" s="1"/>
  <c r="C12" i="41"/>
  <c r="F12" i="41" s="1"/>
  <c r="C13" i="41"/>
  <c r="F13" i="41" s="1"/>
  <c r="C14" i="41"/>
  <c r="F14" i="41" s="1"/>
  <c r="C3" i="41"/>
  <c r="C4" i="42"/>
  <c r="C5" i="42"/>
  <c r="C6" i="42"/>
  <c r="C7" i="42"/>
  <c r="C8" i="42"/>
  <c r="C9" i="42"/>
  <c r="C10" i="42"/>
  <c r="C11" i="42"/>
  <c r="C12" i="42"/>
  <c r="C13" i="42"/>
  <c r="C14" i="42"/>
  <c r="C3" i="42"/>
  <c r="H3" i="42" s="1"/>
  <c r="H4" i="42" l="1"/>
  <c r="H3" i="41"/>
  <c r="H5" i="40"/>
  <c r="H23" i="39"/>
  <c r="H5" i="39"/>
  <c r="H32" i="40"/>
  <c r="K220" i="38"/>
  <c r="C48" i="39" s="1"/>
  <c r="Z220" i="38"/>
  <c r="C48" i="40" s="1"/>
  <c r="H5" i="42" l="1"/>
  <c r="H4" i="41"/>
  <c r="H6" i="40"/>
  <c r="H6" i="39"/>
  <c r="H24" i="39"/>
  <c r="Z219" i="38"/>
  <c r="C47" i="40" s="1"/>
  <c r="K219" i="38"/>
  <c r="C47" i="39" s="1"/>
  <c r="H6" i="42" l="1"/>
  <c r="H5" i="41"/>
  <c r="H7" i="40"/>
  <c r="H7" i="39"/>
  <c r="H25" i="39"/>
  <c r="H7" i="42" l="1"/>
  <c r="H6" i="41"/>
  <c r="H8" i="40"/>
  <c r="H26" i="39"/>
  <c r="H8" i="39"/>
  <c r="H8" i="42" l="1"/>
  <c r="H7" i="41"/>
  <c r="H9" i="40"/>
  <c r="H27" i="39"/>
  <c r="H9" i="39"/>
  <c r="K218" i="38"/>
  <c r="C46" i="39" s="1"/>
  <c r="H9" i="42" l="1"/>
  <c r="H8" i="41"/>
  <c r="H10" i="40"/>
  <c r="H10" i="39"/>
  <c r="H28" i="39"/>
  <c r="Z218" i="38"/>
  <c r="C46" i="40" s="1"/>
  <c r="H10" i="42" l="1"/>
  <c r="H9" i="41"/>
  <c r="H11" i="40"/>
  <c r="H11" i="39"/>
  <c r="H29" i="39"/>
  <c r="L31" i="28"/>
  <c r="H11" i="42" l="1"/>
  <c r="H10" i="41"/>
  <c r="H12" i="40"/>
  <c r="H30" i="39"/>
  <c r="H12" i="39"/>
  <c r="AF200" i="38"/>
  <c r="AF199" i="38"/>
  <c r="AF198" i="38"/>
  <c r="AF197" i="38"/>
  <c r="AF196" i="38"/>
  <c r="AF195" i="38"/>
  <c r="AF194" i="38"/>
  <c r="AF181" i="38"/>
  <c r="AF182" i="38"/>
  <c r="AF183" i="38"/>
  <c r="T80" i="35"/>
  <c r="T101" i="35"/>
  <c r="T100" i="35"/>
  <c r="H12" i="42" l="1"/>
  <c r="H11" i="41"/>
  <c r="H13" i="40"/>
  <c r="H13" i="39"/>
  <c r="H31" i="39"/>
  <c r="Z217" i="38"/>
  <c r="K217" i="38"/>
  <c r="AF219" i="38" l="1"/>
  <c r="C45" i="40"/>
  <c r="P220" i="38"/>
  <c r="C45" i="39"/>
  <c r="H13" i="42"/>
  <c r="H12" i="41"/>
  <c r="H14" i="40"/>
  <c r="H32" i="39"/>
  <c r="H14" i="39"/>
  <c r="G108" i="24"/>
  <c r="D102" i="24"/>
  <c r="D101" i="24"/>
  <c r="H14" i="42" l="1"/>
  <c r="H13" i="41"/>
  <c r="K216" i="38"/>
  <c r="C44" i="39" s="1"/>
  <c r="P202" i="38"/>
  <c r="P201" i="38"/>
  <c r="P200" i="38"/>
  <c r="P185" i="38"/>
  <c r="P184" i="38"/>
  <c r="P183" i="38"/>
  <c r="H14" i="41" l="1"/>
  <c r="Z216" i="38" l="1"/>
  <c r="C44" i="40" s="1"/>
  <c r="K215" i="38" l="1"/>
  <c r="C43" i="39" s="1"/>
  <c r="Z215" i="38"/>
  <c r="C43" i="40" s="1"/>
  <c r="B11" i="42" l="1"/>
  <c r="F11" i="42" s="1"/>
  <c r="B12" i="42"/>
  <c r="F12" i="42" s="1"/>
  <c r="B13" i="42"/>
  <c r="F13" i="42" s="1"/>
  <c r="B14" i="42"/>
  <c r="F14" i="42" s="1"/>
  <c r="B29" i="40"/>
  <c r="F29" i="40" s="1"/>
  <c r="B30" i="40"/>
  <c r="F30" i="40" s="1"/>
  <c r="B31" i="40"/>
  <c r="F31" i="40" s="1"/>
  <c r="B32" i="40"/>
  <c r="F32" i="40" s="1"/>
  <c r="K214" i="38" l="1"/>
  <c r="C42" i="39" s="1"/>
  <c r="Z214" i="38"/>
  <c r="C42" i="40" s="1"/>
  <c r="X189" i="38" l="1"/>
  <c r="Z213" i="38" l="1"/>
  <c r="C41" i="40" s="1"/>
  <c r="K213" i="38"/>
  <c r="C41" i="39" s="1"/>
  <c r="Z212" i="38" l="1"/>
  <c r="C40" i="40" s="1"/>
  <c r="K212" i="38"/>
  <c r="C40" i="39" s="1"/>
  <c r="O105" i="35" l="1"/>
  <c r="O89" i="35"/>
  <c r="O307" i="26" l="1"/>
  <c r="N307" i="26"/>
  <c r="I307" i="26"/>
  <c r="J307" i="26" s="1"/>
  <c r="H307" i="26"/>
  <c r="C307" i="26"/>
  <c r="D307" i="26" s="1"/>
  <c r="B307" i="26"/>
  <c r="P306" i="26"/>
  <c r="J306" i="26"/>
  <c r="D306" i="26"/>
  <c r="P305" i="26"/>
  <c r="J305" i="26"/>
  <c r="D305" i="26"/>
  <c r="P304" i="26"/>
  <c r="J304" i="26"/>
  <c r="D304" i="26"/>
  <c r="P303" i="26"/>
  <c r="J303" i="26"/>
  <c r="D303" i="26"/>
  <c r="P302" i="26"/>
  <c r="J302" i="26"/>
  <c r="D302" i="26"/>
  <c r="P301" i="26"/>
  <c r="J301" i="26"/>
  <c r="D301" i="26"/>
  <c r="P300" i="26"/>
  <c r="J300" i="26"/>
  <c r="D300" i="26"/>
  <c r="P299" i="26"/>
  <c r="J299" i="26"/>
  <c r="D299" i="26"/>
  <c r="P298" i="26"/>
  <c r="J298" i="26"/>
  <c r="D298" i="26"/>
  <c r="P297" i="26"/>
  <c r="J297" i="26"/>
  <c r="D297" i="26"/>
  <c r="P296" i="26"/>
  <c r="J296" i="26"/>
  <c r="D296" i="26"/>
  <c r="P295" i="26"/>
  <c r="J295" i="26"/>
  <c r="D295" i="26"/>
  <c r="P307" i="26" l="1"/>
  <c r="L125" i="24"/>
  <c r="L126" i="24"/>
  <c r="L127" i="24"/>
  <c r="Z211" i="38"/>
  <c r="C39" i="40" s="1"/>
  <c r="H39" i="40" s="1"/>
  <c r="H40" i="40" s="1"/>
  <c r="H41" i="40" s="1"/>
  <c r="H42" i="40" s="1"/>
  <c r="H43" i="40" s="1"/>
  <c r="H44" i="40" s="1"/>
  <c r="H45" i="40" s="1"/>
  <c r="H46" i="40" s="1"/>
  <c r="H47" i="40" s="1"/>
  <c r="H48" i="40" s="1"/>
  <c r="H49" i="40" s="1"/>
  <c r="H50" i="40" s="1"/>
  <c r="K211" i="38"/>
  <c r="C39" i="39" s="1"/>
  <c r="H39" i="39" s="1"/>
  <c r="H40" i="39" s="1"/>
  <c r="H41" i="39" s="1"/>
  <c r="H42" i="39" s="1"/>
  <c r="H43" i="39" s="1"/>
  <c r="H44" i="39" s="1"/>
  <c r="H45" i="39" s="1"/>
  <c r="H46" i="39" s="1"/>
  <c r="H47" i="39" s="1"/>
  <c r="H48" i="39" s="1"/>
  <c r="H49" i="39" s="1"/>
  <c r="H50" i="39" s="1"/>
  <c r="N105" i="35" l="1"/>
  <c r="N89" i="35"/>
  <c r="G39" i="24" l="1"/>
  <c r="B10" i="42" l="1"/>
  <c r="F10" i="42" s="1"/>
  <c r="B28" i="40"/>
  <c r="F28" i="40" s="1"/>
  <c r="B9" i="42" l="1"/>
  <c r="F9" i="42" s="1"/>
  <c r="B27" i="40"/>
  <c r="F27" i="40" s="1"/>
  <c r="B9" i="40"/>
  <c r="F9" i="40" s="1"/>
  <c r="B27" i="39"/>
  <c r="F27" i="39" s="1"/>
  <c r="B9" i="39"/>
  <c r="F9" i="39" s="1"/>
  <c r="B8" i="42" l="1"/>
  <c r="F8" i="42" s="1"/>
  <c r="B26" i="40"/>
  <c r="F26" i="40" s="1"/>
  <c r="B8" i="40"/>
  <c r="F8" i="40" s="1"/>
  <c r="B26" i="39" l="1"/>
  <c r="F26" i="39" s="1"/>
  <c r="B8" i="39"/>
  <c r="F8" i="39" s="1"/>
  <c r="B22" i="39" l="1"/>
  <c r="F22" i="39" s="1"/>
  <c r="B23" i="39"/>
  <c r="F23" i="39" s="1"/>
  <c r="B24" i="39"/>
  <c r="F24" i="39" s="1"/>
  <c r="B25" i="39"/>
  <c r="F25" i="39" s="1"/>
  <c r="B21" i="39"/>
  <c r="B4" i="39"/>
  <c r="F4" i="39" s="1"/>
  <c r="B5" i="39"/>
  <c r="F5" i="39" s="1"/>
  <c r="B6" i="39"/>
  <c r="F6" i="39" s="1"/>
  <c r="B7" i="39"/>
  <c r="F7" i="39" s="1"/>
  <c r="B3" i="39"/>
  <c r="B4" i="40"/>
  <c r="F4" i="40" s="1"/>
  <c r="B5" i="40"/>
  <c r="F5" i="40" s="1"/>
  <c r="B6" i="40"/>
  <c r="F6" i="40" s="1"/>
  <c r="B7" i="40"/>
  <c r="F7" i="40" s="1"/>
  <c r="B3" i="40"/>
  <c r="B22" i="40"/>
  <c r="F22" i="40" s="1"/>
  <c r="B23" i="40"/>
  <c r="F23" i="40" s="1"/>
  <c r="B24" i="40"/>
  <c r="F24" i="40" s="1"/>
  <c r="B25" i="40"/>
  <c r="F25" i="40" s="1"/>
  <c r="B21" i="40"/>
  <c r="B4" i="41"/>
  <c r="F4" i="41" s="1"/>
  <c r="B5" i="41"/>
  <c r="F5" i="41" s="1"/>
  <c r="B6" i="41"/>
  <c r="F6" i="41" s="1"/>
  <c r="B7" i="41"/>
  <c r="F7" i="41" s="1"/>
  <c r="B3" i="41"/>
  <c r="B4" i="42"/>
  <c r="F4" i="42" s="1"/>
  <c r="B5" i="42"/>
  <c r="F5" i="42" s="1"/>
  <c r="B6" i="42"/>
  <c r="F6" i="42" s="1"/>
  <c r="B7" i="42"/>
  <c r="F7" i="42" s="1"/>
  <c r="B3" i="42"/>
  <c r="G3" i="42" l="1"/>
  <c r="K3" i="42" s="1"/>
  <c r="F3" i="42"/>
  <c r="G3" i="41"/>
  <c r="K3" i="41" s="1"/>
  <c r="F3" i="41"/>
  <c r="G21" i="40"/>
  <c r="F21" i="40"/>
  <c r="G3" i="40"/>
  <c r="K3" i="40" s="1"/>
  <c r="F3" i="40"/>
  <c r="G3" i="39"/>
  <c r="F3" i="39"/>
  <c r="G21" i="39"/>
  <c r="K21" i="39" s="1"/>
  <c r="F21" i="39"/>
  <c r="G4" i="41"/>
  <c r="K4" i="41" s="1"/>
  <c r="Y214" i="38"/>
  <c r="B42" i="40" s="1"/>
  <c r="F42" i="40" s="1"/>
  <c r="J214" i="38"/>
  <c r="B42" i="39" s="1"/>
  <c r="F42" i="39" s="1"/>
  <c r="G4" i="42" l="1"/>
  <c r="K4" i="42" s="1"/>
  <c r="G4" i="40"/>
  <c r="G5" i="40" s="1"/>
  <c r="G22" i="39"/>
  <c r="G23" i="39" s="1"/>
  <c r="G22" i="40"/>
  <c r="K21" i="40"/>
  <c r="G4" i="39"/>
  <c r="K3" i="39"/>
  <c r="G5" i="41"/>
  <c r="K5" i="41" s="1"/>
  <c r="G5" i="42"/>
  <c r="K5" i="42" s="1"/>
  <c r="P322" i="26"/>
  <c r="P321" i="26"/>
  <c r="P320" i="26"/>
  <c r="P319" i="26"/>
  <c r="P318" i="26"/>
  <c r="P317" i="26"/>
  <c r="P316" i="26"/>
  <c r="P315" i="26"/>
  <c r="P314" i="26"/>
  <c r="P313" i="26"/>
  <c r="P312" i="26"/>
  <c r="P311" i="26"/>
  <c r="K4" i="40" l="1"/>
  <c r="K22" i="39"/>
  <c r="G23" i="40"/>
  <c r="K22" i="40"/>
  <c r="G6" i="40"/>
  <c r="K5" i="40"/>
  <c r="G5" i="39"/>
  <c r="K4" i="39"/>
  <c r="G24" i="39"/>
  <c r="K23" i="39"/>
  <c r="G6" i="41"/>
  <c r="K6" i="41" s="1"/>
  <c r="G6" i="42"/>
  <c r="K6" i="42" s="1"/>
  <c r="J312" i="26"/>
  <c r="J313" i="26"/>
  <c r="J314" i="26"/>
  <c r="J315" i="26"/>
  <c r="J316" i="26"/>
  <c r="J317" i="26"/>
  <c r="J318" i="26"/>
  <c r="J319" i="26"/>
  <c r="J320" i="26"/>
  <c r="J321" i="26"/>
  <c r="J322" i="26"/>
  <c r="G7" i="40" l="1"/>
  <c r="K6" i="40"/>
  <c r="G24" i="40"/>
  <c r="K23" i="40"/>
  <c r="G25" i="39"/>
  <c r="K24" i="39"/>
  <c r="G6" i="39"/>
  <c r="K5" i="39"/>
  <c r="G7" i="41"/>
  <c r="K7" i="41" s="1"/>
  <c r="G7" i="42"/>
  <c r="K7" i="42" s="1"/>
  <c r="D312" i="26"/>
  <c r="D313" i="26"/>
  <c r="D314" i="26"/>
  <c r="D315" i="26"/>
  <c r="D316" i="26"/>
  <c r="D317" i="26"/>
  <c r="D318" i="26"/>
  <c r="D319" i="26"/>
  <c r="D320" i="26"/>
  <c r="D321" i="26"/>
  <c r="D322" i="26"/>
  <c r="D311" i="26"/>
  <c r="G25" i="40" l="1"/>
  <c r="K24" i="40"/>
  <c r="G8" i="40"/>
  <c r="K7" i="40"/>
  <c r="G7" i="39"/>
  <c r="K6" i="39"/>
  <c r="G26" i="39"/>
  <c r="K25" i="39"/>
  <c r="G8" i="41"/>
  <c r="K8" i="41" s="1"/>
  <c r="G8" i="42"/>
  <c r="K8" i="42" s="1"/>
  <c r="Y212" i="38"/>
  <c r="B40" i="40" s="1"/>
  <c r="F40" i="40" s="1"/>
  <c r="Y213" i="38"/>
  <c r="B41" i="40" s="1"/>
  <c r="F41" i="40" s="1"/>
  <c r="Y215" i="38"/>
  <c r="B43" i="40" s="1"/>
  <c r="F43" i="40" s="1"/>
  <c r="Y216" i="38"/>
  <c r="B44" i="40" s="1"/>
  <c r="F44" i="40" s="1"/>
  <c r="Y217" i="38"/>
  <c r="Y218" i="38"/>
  <c r="B46" i="40" s="1"/>
  <c r="F46" i="40" s="1"/>
  <c r="Y219" i="38"/>
  <c r="B47" i="40" s="1"/>
  <c r="F47" i="40" s="1"/>
  <c r="Y220" i="38"/>
  <c r="B48" i="40" s="1"/>
  <c r="F48" i="40" s="1"/>
  <c r="Y221" i="38"/>
  <c r="B49" i="40" s="1"/>
  <c r="F49" i="40" s="1"/>
  <c r="Y222" i="38"/>
  <c r="B50" i="40" s="1"/>
  <c r="F50" i="40" s="1"/>
  <c r="J212" i="38"/>
  <c r="B40" i="39" s="1"/>
  <c r="F40" i="39" s="1"/>
  <c r="J213" i="38"/>
  <c r="B41" i="39" s="1"/>
  <c r="F41" i="39" s="1"/>
  <c r="J215" i="38"/>
  <c r="B43" i="39" s="1"/>
  <c r="F43" i="39" s="1"/>
  <c r="J216" i="38"/>
  <c r="B44" i="39" s="1"/>
  <c r="F44" i="39" s="1"/>
  <c r="J217" i="38"/>
  <c r="J218" i="38"/>
  <c r="B46" i="39" s="1"/>
  <c r="F46" i="39" s="1"/>
  <c r="J219" i="38"/>
  <c r="B47" i="39" s="1"/>
  <c r="F47" i="39" s="1"/>
  <c r="J220" i="38"/>
  <c r="B48" i="39" s="1"/>
  <c r="F48" i="39" s="1"/>
  <c r="J221" i="38"/>
  <c r="B49" i="39" s="1"/>
  <c r="F49" i="39" s="1"/>
  <c r="J222" i="38"/>
  <c r="B50" i="39" s="1"/>
  <c r="F50" i="39" s="1"/>
  <c r="P219" i="38" l="1"/>
  <c r="B45" i="39"/>
  <c r="F45" i="39" s="1"/>
  <c r="AF218" i="38"/>
  <c r="B45" i="40"/>
  <c r="F45" i="40" s="1"/>
  <c r="G9" i="40"/>
  <c r="K8" i="40"/>
  <c r="G26" i="40"/>
  <c r="K25" i="40"/>
  <c r="G27" i="39"/>
  <c r="K26" i="39"/>
  <c r="G8" i="39"/>
  <c r="K7" i="39"/>
  <c r="G9" i="41"/>
  <c r="K9" i="41" s="1"/>
  <c r="G9" i="42"/>
  <c r="K9" i="42" s="1"/>
  <c r="G27" i="40" l="1"/>
  <c r="K26" i="40"/>
  <c r="G10" i="40"/>
  <c r="K9" i="40"/>
  <c r="G9" i="39"/>
  <c r="K8" i="39"/>
  <c r="G28" i="39"/>
  <c r="K27" i="39"/>
  <c r="G10" i="41"/>
  <c r="K10" i="41" s="1"/>
  <c r="G10" i="42"/>
  <c r="K10" i="42" s="1"/>
  <c r="J311" i="26"/>
  <c r="Y211" i="38"/>
  <c r="B39" i="40" s="1"/>
  <c r="J211" i="38"/>
  <c r="B39" i="39" s="1"/>
  <c r="G39" i="40" l="1"/>
  <c r="F39" i="40"/>
  <c r="F39" i="39"/>
  <c r="G39" i="39"/>
  <c r="G11" i="40"/>
  <c r="K10" i="40"/>
  <c r="G28" i="40"/>
  <c r="K27" i="40"/>
  <c r="G29" i="39"/>
  <c r="K28" i="39"/>
  <c r="G10" i="39"/>
  <c r="K9" i="39"/>
  <c r="G11" i="41"/>
  <c r="K11" i="41" s="1"/>
  <c r="G11" i="42"/>
  <c r="K11" i="42" s="1"/>
  <c r="O323" i="26"/>
  <c r="N323" i="26"/>
  <c r="I323" i="26"/>
  <c r="J323" i="26" s="1"/>
  <c r="H323" i="26"/>
  <c r="C323" i="26"/>
  <c r="D323" i="26" s="1"/>
  <c r="B323" i="26"/>
  <c r="AK3" i="3"/>
  <c r="AC173" i="38"/>
  <c r="M173" i="38"/>
  <c r="K39" i="39" l="1"/>
  <c r="G40" i="39"/>
  <c r="K39" i="40"/>
  <c r="G40" i="40"/>
  <c r="G29" i="40"/>
  <c r="K28" i="40"/>
  <c r="G12" i="40"/>
  <c r="K11" i="40"/>
  <c r="G11" i="39"/>
  <c r="K10" i="39"/>
  <c r="G30" i="39"/>
  <c r="K29" i="39"/>
  <c r="G12" i="41"/>
  <c r="K12" i="41" s="1"/>
  <c r="G12" i="42"/>
  <c r="K12" i="42" s="1"/>
  <c r="P323" i="26"/>
  <c r="G41" i="40" l="1"/>
  <c r="K40" i="40"/>
  <c r="K40" i="39"/>
  <c r="G41" i="39"/>
  <c r="G13" i="40"/>
  <c r="K12" i="40"/>
  <c r="G30" i="40"/>
  <c r="K29" i="40"/>
  <c r="G31" i="39"/>
  <c r="K30" i="39"/>
  <c r="G12" i="39"/>
  <c r="K11" i="39"/>
  <c r="G13" i="41"/>
  <c r="K13" i="41" s="1"/>
  <c r="G13" i="42"/>
  <c r="K13" i="42" s="1"/>
  <c r="K4" i="24"/>
  <c r="K41" i="39" l="1"/>
  <c r="G42" i="39"/>
  <c r="K41" i="40"/>
  <c r="G42" i="40"/>
  <c r="G31" i="40"/>
  <c r="K30" i="40"/>
  <c r="G14" i="40"/>
  <c r="K14" i="40" s="1"/>
  <c r="K13" i="40"/>
  <c r="G13" i="39"/>
  <c r="K12" i="39"/>
  <c r="G32" i="39"/>
  <c r="K32" i="39" s="1"/>
  <c r="K31" i="39"/>
  <c r="G14" i="41"/>
  <c r="K14" i="41" s="1"/>
  <c r="G14" i="42"/>
  <c r="K14" i="42" s="1"/>
  <c r="M89" i="35"/>
  <c r="M105" i="35"/>
  <c r="G43" i="40" l="1"/>
  <c r="K42" i="40"/>
  <c r="G43" i="39"/>
  <c r="K42" i="39"/>
  <c r="G32" i="40"/>
  <c r="K32" i="40" s="1"/>
  <c r="K31" i="40"/>
  <c r="G14" i="39"/>
  <c r="K14" i="39" s="1"/>
  <c r="K13" i="39"/>
  <c r="AE172" i="38"/>
  <c r="P172" i="38"/>
  <c r="G44" i="39" l="1"/>
  <c r="K43" i="39"/>
  <c r="G44" i="40"/>
  <c r="K43" i="40"/>
  <c r="G45" i="40" l="1"/>
  <c r="K44" i="40"/>
  <c r="G45" i="39"/>
  <c r="K44" i="39"/>
  <c r="I219" i="38"/>
  <c r="K45" i="40" l="1"/>
  <c r="G46" i="40"/>
  <c r="G46" i="39"/>
  <c r="K45" i="39"/>
  <c r="L5" i="24"/>
  <c r="G47" i="40" l="1"/>
  <c r="K46" i="40"/>
  <c r="G47" i="39"/>
  <c r="K46" i="39"/>
  <c r="X213" i="38"/>
  <c r="X214" i="38"/>
  <c r="X216" i="38"/>
  <c r="X217" i="38"/>
  <c r="X218" i="38"/>
  <c r="X219" i="38"/>
  <c r="X220" i="38"/>
  <c r="X221" i="38"/>
  <c r="X222" i="38"/>
  <c r="I214" i="38"/>
  <c r="I216" i="38"/>
  <c r="I217" i="38"/>
  <c r="P218" i="38" s="1"/>
  <c r="I218" i="38"/>
  <c r="I220" i="38"/>
  <c r="I221" i="38"/>
  <c r="I222" i="38"/>
  <c r="I213" i="38"/>
  <c r="G48" i="39" l="1"/>
  <c r="K47" i="39"/>
  <c r="AF217" i="38"/>
  <c r="G48" i="40"/>
  <c r="K47" i="40"/>
  <c r="B4" i="24"/>
  <c r="G49" i="40" l="1"/>
  <c r="K48" i="40"/>
  <c r="K48" i="39"/>
  <c r="G49" i="39"/>
  <c r="K49" i="39" l="1"/>
  <c r="G50" i="39"/>
  <c r="K50" i="39" s="1"/>
  <c r="G50" i="40"/>
  <c r="K50" i="40" s="1"/>
  <c r="K49" i="40"/>
  <c r="X212" i="38"/>
  <c r="I212" i="38"/>
  <c r="P289" i="26" l="1"/>
  <c r="X211" i="38" l="1"/>
  <c r="I211" i="38"/>
  <c r="D289" i="26" l="1"/>
  <c r="AD174" i="3" l="1"/>
  <c r="AD174" i="26"/>
  <c r="AF175" i="35"/>
  <c r="AH174" i="39"/>
  <c r="AH174" i="40"/>
  <c r="AH174" i="41"/>
  <c r="AH174" i="42"/>
  <c r="M78" i="24" l="1"/>
  <c r="C17" i="28" l="1"/>
  <c r="Y223" i="38" l="1"/>
  <c r="Z223" i="38"/>
  <c r="AA223" i="38"/>
  <c r="AB223" i="38"/>
  <c r="AC223" i="38"/>
  <c r="Y206" i="38"/>
  <c r="Z206" i="38"/>
  <c r="AA206" i="38"/>
  <c r="AB206" i="38"/>
  <c r="AD173" i="38" s="1"/>
  <c r="AC206" i="38"/>
  <c r="AD170" i="38"/>
  <c r="Z189" i="38"/>
  <c r="E46" i="24" l="1"/>
  <c r="F46" i="24" s="1"/>
  <c r="C26" i="28" l="1"/>
  <c r="V171" i="38" l="1"/>
  <c r="F171" i="38"/>
  <c r="M223" i="38"/>
  <c r="K223" i="38"/>
  <c r="J223" i="38"/>
  <c r="W222" i="38"/>
  <c r="V222" i="38"/>
  <c r="U222" i="38"/>
  <c r="T222" i="38"/>
  <c r="S222" i="38"/>
  <c r="R222" i="38"/>
  <c r="H222" i="38"/>
  <c r="G222" i="38"/>
  <c r="F222" i="38"/>
  <c r="E222" i="38"/>
  <c r="D222" i="38"/>
  <c r="C222" i="38"/>
  <c r="B222" i="38"/>
  <c r="W221" i="38"/>
  <c r="V221" i="38"/>
  <c r="U221" i="38"/>
  <c r="T221" i="38"/>
  <c r="S221" i="38"/>
  <c r="R221" i="38"/>
  <c r="H221" i="38"/>
  <c r="G221" i="38"/>
  <c r="F221" i="38"/>
  <c r="E221" i="38"/>
  <c r="D221" i="38"/>
  <c r="C221" i="38"/>
  <c r="B221" i="38"/>
  <c r="W220" i="38"/>
  <c r="V220" i="38"/>
  <c r="U220" i="38"/>
  <c r="T220" i="38"/>
  <c r="S220" i="38"/>
  <c r="R220" i="38"/>
  <c r="H220" i="38"/>
  <c r="G220" i="38"/>
  <c r="F220" i="38"/>
  <c r="E220" i="38"/>
  <c r="D220" i="38"/>
  <c r="C220" i="38"/>
  <c r="B220" i="38"/>
  <c r="W219" i="38"/>
  <c r="V219" i="38"/>
  <c r="U219" i="38"/>
  <c r="T219" i="38"/>
  <c r="S219" i="38"/>
  <c r="R219" i="38"/>
  <c r="H219" i="38"/>
  <c r="G219" i="38"/>
  <c r="F219" i="38"/>
  <c r="E219" i="38"/>
  <c r="D219" i="38"/>
  <c r="C219" i="38"/>
  <c r="B219" i="38"/>
  <c r="W218" i="38"/>
  <c r="V218" i="38"/>
  <c r="U218" i="38"/>
  <c r="T218" i="38"/>
  <c r="S218" i="38"/>
  <c r="R218" i="38"/>
  <c r="H218" i="38"/>
  <c r="G218" i="38"/>
  <c r="F218" i="38"/>
  <c r="E218" i="38"/>
  <c r="D218" i="38"/>
  <c r="C218" i="38"/>
  <c r="B218" i="38"/>
  <c r="W217" i="38"/>
  <c r="V217" i="38"/>
  <c r="U217" i="38"/>
  <c r="T217" i="38"/>
  <c r="S217" i="38"/>
  <c r="R217" i="38"/>
  <c r="H217" i="38"/>
  <c r="G217" i="38"/>
  <c r="F217" i="38"/>
  <c r="E217" i="38"/>
  <c r="D217" i="38"/>
  <c r="C217" i="38"/>
  <c r="B217" i="38"/>
  <c r="W216" i="38"/>
  <c r="V216" i="38"/>
  <c r="U216" i="38"/>
  <c r="T216" i="38"/>
  <c r="S216" i="38"/>
  <c r="R216" i="38"/>
  <c r="H216" i="38"/>
  <c r="G216" i="38"/>
  <c r="F216" i="38"/>
  <c r="E216" i="38"/>
  <c r="D216" i="38"/>
  <c r="C216" i="38"/>
  <c r="B216" i="38"/>
  <c r="W215" i="38"/>
  <c r="V215" i="38"/>
  <c r="U215" i="38"/>
  <c r="T215" i="38"/>
  <c r="S215" i="38"/>
  <c r="R215" i="38"/>
  <c r="H215" i="38"/>
  <c r="G215" i="38"/>
  <c r="F215" i="38"/>
  <c r="E215" i="38"/>
  <c r="D215" i="38"/>
  <c r="C215" i="38"/>
  <c r="B215" i="38"/>
  <c r="W214" i="38"/>
  <c r="V214" i="38"/>
  <c r="U214" i="38"/>
  <c r="T214" i="38"/>
  <c r="S214" i="38"/>
  <c r="R214" i="38"/>
  <c r="H214" i="38"/>
  <c r="G214" i="38"/>
  <c r="F214" i="38"/>
  <c r="E214" i="38"/>
  <c r="D214" i="38"/>
  <c r="C214" i="38"/>
  <c r="B214" i="38"/>
  <c r="W213" i="38"/>
  <c r="V213" i="38"/>
  <c r="U213" i="38"/>
  <c r="T213" i="38"/>
  <c r="S213" i="38"/>
  <c r="R213" i="38"/>
  <c r="H213" i="38"/>
  <c r="G213" i="38"/>
  <c r="F213" i="38"/>
  <c r="E213" i="38"/>
  <c r="D213" i="38"/>
  <c r="C213" i="38"/>
  <c r="B213" i="38"/>
  <c r="W212" i="38"/>
  <c r="V212" i="38"/>
  <c r="U212" i="38"/>
  <c r="T212" i="38"/>
  <c r="S212" i="38"/>
  <c r="R212" i="38"/>
  <c r="H212" i="38"/>
  <c r="G212" i="38"/>
  <c r="F212" i="38"/>
  <c r="E212" i="38"/>
  <c r="D212" i="38"/>
  <c r="C212" i="38"/>
  <c r="B212" i="38"/>
  <c r="W211" i="38"/>
  <c r="V211" i="38"/>
  <c r="U211" i="38"/>
  <c r="T211" i="38"/>
  <c r="S211" i="38"/>
  <c r="R211" i="38"/>
  <c r="H211" i="38"/>
  <c r="G211" i="38"/>
  <c r="F211" i="38"/>
  <c r="E211" i="38"/>
  <c r="D211" i="38"/>
  <c r="C211" i="38"/>
  <c r="B211" i="38"/>
  <c r="W206" i="38"/>
  <c r="V206" i="38"/>
  <c r="U206" i="38"/>
  <c r="T206" i="38"/>
  <c r="S206" i="38"/>
  <c r="R206" i="38"/>
  <c r="M206" i="38"/>
  <c r="N173" i="38" s="1"/>
  <c r="K206" i="38"/>
  <c r="J206" i="38"/>
  <c r="H206" i="38"/>
  <c r="G206" i="38"/>
  <c r="F206" i="38"/>
  <c r="E206" i="38"/>
  <c r="D206" i="38"/>
  <c r="C206" i="38"/>
  <c r="B206" i="38"/>
  <c r="P199" i="38"/>
  <c r="P198" i="38"/>
  <c r="P197" i="38"/>
  <c r="P196" i="38"/>
  <c r="P195" i="38"/>
  <c r="P194" i="38"/>
  <c r="AC189" i="38"/>
  <c r="AA189" i="38"/>
  <c r="Y189" i="38"/>
  <c r="W189" i="38"/>
  <c r="V189" i="38"/>
  <c r="U189" i="38"/>
  <c r="T189" i="38"/>
  <c r="S189" i="38"/>
  <c r="R189" i="38"/>
  <c r="M189" i="38"/>
  <c r="N170" i="38" s="1"/>
  <c r="K189" i="38"/>
  <c r="J189" i="38"/>
  <c r="H189" i="38"/>
  <c r="G189" i="38"/>
  <c r="F189" i="38"/>
  <c r="E189" i="38"/>
  <c r="D189" i="38"/>
  <c r="C189" i="38"/>
  <c r="B189" i="38"/>
  <c r="P182" i="38"/>
  <c r="AF215" i="38"/>
  <c r="P181" i="38"/>
  <c r="P215" i="38" s="1"/>
  <c r="AF180" i="38"/>
  <c r="AF214" i="38" s="1"/>
  <c r="P180" i="38"/>
  <c r="AF179" i="38"/>
  <c r="AF213" i="38" s="1"/>
  <c r="P179" i="38"/>
  <c r="AF178" i="38"/>
  <c r="AF212" i="38" s="1"/>
  <c r="P178" i="38"/>
  <c r="P212" i="38" s="1"/>
  <c r="AF177" i="38"/>
  <c r="AF211" i="38" s="1"/>
  <c r="P177" i="38"/>
  <c r="AD165" i="38"/>
  <c r="AA165" i="38"/>
  <c r="AD164" i="38"/>
  <c r="AD163" i="38"/>
  <c r="AD162" i="38"/>
  <c r="AA162" i="38"/>
  <c r="AD161" i="38"/>
  <c r="AA161" i="38"/>
  <c r="AD160" i="38"/>
  <c r="AA160" i="38"/>
  <c r="AD159" i="38"/>
  <c r="AA159" i="38"/>
  <c r="X159" i="38"/>
  <c r="AD158" i="38"/>
  <c r="AA158" i="38"/>
  <c r="X158" i="38"/>
  <c r="AD157" i="38"/>
  <c r="AA157" i="38"/>
  <c r="X157" i="38"/>
  <c r="AD156" i="38"/>
  <c r="X156" i="38"/>
  <c r="U156" i="38"/>
  <c r="AD155" i="38"/>
  <c r="X155" i="38"/>
  <c r="AD154" i="38"/>
  <c r="X154" i="38"/>
  <c r="AD149" i="38"/>
  <c r="X148" i="38"/>
  <c r="X165" i="38" s="1"/>
  <c r="U148" i="38"/>
  <c r="U165" i="38" s="1"/>
  <c r="R148" i="38"/>
  <c r="R165" i="38" s="1"/>
  <c r="AA147" i="38"/>
  <c r="AA164" i="38" s="1"/>
  <c r="X147" i="38"/>
  <c r="X164" i="38" s="1"/>
  <c r="U147" i="38"/>
  <c r="U164" i="38" s="1"/>
  <c r="R147" i="38"/>
  <c r="R164" i="38" s="1"/>
  <c r="AA146" i="38"/>
  <c r="AA163" i="38" s="1"/>
  <c r="X146" i="38"/>
  <c r="X163" i="38" s="1"/>
  <c r="U146" i="38"/>
  <c r="U163" i="38" s="1"/>
  <c r="R146" i="38"/>
  <c r="R163" i="38" s="1"/>
  <c r="X145" i="38"/>
  <c r="X162" i="38" s="1"/>
  <c r="U145" i="38"/>
  <c r="U162" i="38" s="1"/>
  <c r="R145" i="38"/>
  <c r="R162" i="38" s="1"/>
  <c r="X144" i="38"/>
  <c r="X161" i="38" s="1"/>
  <c r="U144" i="38"/>
  <c r="U161" i="38" s="1"/>
  <c r="R144" i="38"/>
  <c r="R161" i="38" s="1"/>
  <c r="X143" i="38"/>
  <c r="X160" i="38" s="1"/>
  <c r="U143" i="38"/>
  <c r="U160" i="38" s="1"/>
  <c r="R143" i="38"/>
  <c r="R160" i="38" s="1"/>
  <c r="U142" i="38"/>
  <c r="U159" i="38" s="1"/>
  <c r="R142" i="38"/>
  <c r="R159" i="38" s="1"/>
  <c r="U141" i="38"/>
  <c r="U158" i="38" s="1"/>
  <c r="R141" i="38"/>
  <c r="R158" i="38" s="1"/>
  <c r="U140" i="38"/>
  <c r="U157" i="38" s="1"/>
  <c r="R140" i="38"/>
  <c r="R157" i="38" s="1"/>
  <c r="AA139" i="38"/>
  <c r="AA156" i="38" s="1"/>
  <c r="R139" i="38"/>
  <c r="R156" i="38" s="1"/>
  <c r="AA138" i="38"/>
  <c r="AA155" i="38" s="1"/>
  <c r="U138" i="38"/>
  <c r="U155" i="38" s="1"/>
  <c r="R138" i="38"/>
  <c r="R155" i="38" s="1"/>
  <c r="AA137" i="38"/>
  <c r="U137" i="38"/>
  <c r="U154" i="38" s="1"/>
  <c r="R137" i="38"/>
  <c r="R154" i="38" s="1"/>
  <c r="Z133" i="38"/>
  <c r="W133" i="38"/>
  <c r="T133" i="38"/>
  <c r="AE132" i="38"/>
  <c r="AD132" i="38"/>
  <c r="AC132" i="38"/>
  <c r="AB132" i="38"/>
  <c r="AA132" i="38"/>
  <c r="Z132" i="38"/>
  <c r="Y132" i="38"/>
  <c r="X132" i="38"/>
  <c r="W132" i="38"/>
  <c r="V132" i="38"/>
  <c r="U132" i="38"/>
  <c r="T132" i="38"/>
  <c r="S132" i="38"/>
  <c r="R132" i="38"/>
  <c r="N110" i="38"/>
  <c r="L110" i="38"/>
  <c r="X109" i="38"/>
  <c r="U109" i="38"/>
  <c r="D109" i="38"/>
  <c r="B109" i="38"/>
  <c r="X108" i="38"/>
  <c r="D108" i="38"/>
  <c r="B108" i="38"/>
  <c r="X107" i="38"/>
  <c r="U107" i="38"/>
  <c r="D107" i="38"/>
  <c r="B107" i="38"/>
  <c r="X106" i="38"/>
  <c r="U106" i="38"/>
  <c r="D106" i="38"/>
  <c r="B106" i="38"/>
  <c r="X105" i="38"/>
  <c r="U105" i="38"/>
  <c r="D105" i="38"/>
  <c r="B105" i="38"/>
  <c r="X104" i="38"/>
  <c r="U104" i="38"/>
  <c r="D104" i="38"/>
  <c r="B104" i="38"/>
  <c r="AA103" i="38"/>
  <c r="X103" i="38"/>
  <c r="U103" i="38"/>
  <c r="F103" i="38"/>
  <c r="D103" i="38"/>
  <c r="B103" i="38"/>
  <c r="AA102" i="38"/>
  <c r="X102" i="38"/>
  <c r="U102" i="38"/>
  <c r="F102" i="38"/>
  <c r="D102" i="38"/>
  <c r="B102" i="38"/>
  <c r="AA101" i="38"/>
  <c r="X101" i="38"/>
  <c r="F101" i="38"/>
  <c r="D101" i="38"/>
  <c r="AA100" i="38"/>
  <c r="X100" i="38"/>
  <c r="U100" i="38"/>
  <c r="R100" i="38"/>
  <c r="J100" i="38"/>
  <c r="F100" i="38"/>
  <c r="D100" i="38"/>
  <c r="B100" i="38"/>
  <c r="AA99" i="38"/>
  <c r="X99" i="38"/>
  <c r="U99" i="38"/>
  <c r="R99" i="38"/>
  <c r="F99" i="38"/>
  <c r="D99" i="38"/>
  <c r="B99" i="38"/>
  <c r="AA98" i="38"/>
  <c r="X98" i="38"/>
  <c r="U98" i="38"/>
  <c r="R98" i="38"/>
  <c r="F98" i="38"/>
  <c r="D98" i="38"/>
  <c r="B98" i="38"/>
  <c r="X93" i="38"/>
  <c r="N93" i="38"/>
  <c r="L93" i="38"/>
  <c r="D93" i="38"/>
  <c r="AA92" i="38"/>
  <c r="AA109" i="38" s="1"/>
  <c r="R92" i="38"/>
  <c r="R109" i="38" s="1"/>
  <c r="J92" i="38"/>
  <c r="J109" i="38" s="1"/>
  <c r="H92" i="38"/>
  <c r="H109" i="38" s="1"/>
  <c r="F92" i="38"/>
  <c r="F109" i="38" s="1"/>
  <c r="AA91" i="38"/>
  <c r="AA108" i="38" s="1"/>
  <c r="U91" i="38"/>
  <c r="U108" i="38" s="1"/>
  <c r="R91" i="38"/>
  <c r="R108" i="38" s="1"/>
  <c r="J91" i="38"/>
  <c r="J108" i="38" s="1"/>
  <c r="H91" i="38"/>
  <c r="H108" i="38" s="1"/>
  <c r="F91" i="38"/>
  <c r="F108" i="38" s="1"/>
  <c r="AA90" i="38"/>
  <c r="AA107" i="38" s="1"/>
  <c r="R90" i="38"/>
  <c r="R107" i="38" s="1"/>
  <c r="J90" i="38"/>
  <c r="J107" i="38" s="1"/>
  <c r="H90" i="38"/>
  <c r="H107" i="38" s="1"/>
  <c r="F90" i="38"/>
  <c r="F107" i="38" s="1"/>
  <c r="AA89" i="38"/>
  <c r="AA106" i="38" s="1"/>
  <c r="R89" i="38"/>
  <c r="R106" i="38" s="1"/>
  <c r="J89" i="38"/>
  <c r="J106" i="38" s="1"/>
  <c r="H89" i="38"/>
  <c r="H106" i="38" s="1"/>
  <c r="F89" i="38"/>
  <c r="F106" i="38" s="1"/>
  <c r="AA88" i="38"/>
  <c r="R88" i="38"/>
  <c r="R105" i="38" s="1"/>
  <c r="J88" i="38"/>
  <c r="J105" i="38" s="1"/>
  <c r="H88" i="38"/>
  <c r="H105" i="38" s="1"/>
  <c r="F88" i="38"/>
  <c r="F105" i="38" s="1"/>
  <c r="AA87" i="38"/>
  <c r="AA104" i="38" s="1"/>
  <c r="R87" i="38"/>
  <c r="R104" i="38" s="1"/>
  <c r="J87" i="38"/>
  <c r="J104" i="38" s="1"/>
  <c r="H87" i="38"/>
  <c r="H104" i="38" s="1"/>
  <c r="F87" i="38"/>
  <c r="F104" i="38" s="1"/>
  <c r="R86" i="38"/>
  <c r="R103" i="38" s="1"/>
  <c r="J86" i="38"/>
  <c r="J103" i="38" s="1"/>
  <c r="H86" i="38"/>
  <c r="H103" i="38" s="1"/>
  <c r="R85" i="38"/>
  <c r="R102" i="38" s="1"/>
  <c r="J85" i="38"/>
  <c r="J102" i="38" s="1"/>
  <c r="H85" i="38"/>
  <c r="H102" i="38" s="1"/>
  <c r="U84" i="38"/>
  <c r="U101" i="38" s="1"/>
  <c r="R84" i="38"/>
  <c r="R101" i="38" s="1"/>
  <c r="J84" i="38"/>
  <c r="J101" i="38" s="1"/>
  <c r="H84" i="38"/>
  <c r="H101" i="38" s="1"/>
  <c r="B84" i="38"/>
  <c r="B101" i="38" s="1"/>
  <c r="H83" i="38"/>
  <c r="H100" i="38" s="1"/>
  <c r="J82" i="38"/>
  <c r="J99" i="38" s="1"/>
  <c r="H82" i="38"/>
  <c r="H99" i="38" s="1"/>
  <c r="J81" i="38"/>
  <c r="H81" i="38"/>
  <c r="AE77" i="38"/>
  <c r="Z77" i="38"/>
  <c r="W77" i="38"/>
  <c r="T77" i="38"/>
  <c r="O77" i="38"/>
  <c r="K77" i="38"/>
  <c r="I77" i="38"/>
  <c r="G77" i="38"/>
  <c r="E77" i="38"/>
  <c r="C77" i="38"/>
  <c r="AE76" i="38"/>
  <c r="AD76" i="38"/>
  <c r="AA76" i="38"/>
  <c r="Y76" i="38"/>
  <c r="X76" i="38"/>
  <c r="W76" i="38"/>
  <c r="V76" i="38"/>
  <c r="U76" i="38"/>
  <c r="T76" i="38"/>
  <c r="S76" i="38"/>
  <c r="R76" i="38"/>
  <c r="O76" i="38"/>
  <c r="N76" i="38"/>
  <c r="K76" i="38"/>
  <c r="J76" i="38"/>
  <c r="I76" i="38"/>
  <c r="H76" i="38"/>
  <c r="G76" i="38"/>
  <c r="F76" i="38"/>
  <c r="E76" i="38"/>
  <c r="D76" i="38"/>
  <c r="C76" i="38"/>
  <c r="B76" i="38"/>
  <c r="AA53" i="38"/>
  <c r="X53" i="38"/>
  <c r="V53" i="38"/>
  <c r="T53" i="38"/>
  <c r="R53" i="38"/>
  <c r="J53" i="38"/>
  <c r="H53" i="38"/>
  <c r="F53" i="38"/>
  <c r="D53" i="38"/>
  <c r="B53" i="38"/>
  <c r="AA52" i="38"/>
  <c r="X52" i="38"/>
  <c r="V52" i="38"/>
  <c r="T52" i="38"/>
  <c r="R52" i="38"/>
  <c r="J52" i="38"/>
  <c r="H52" i="38"/>
  <c r="F52" i="38"/>
  <c r="D52" i="38"/>
  <c r="B52" i="38"/>
  <c r="AA51" i="38"/>
  <c r="X51" i="38"/>
  <c r="V51" i="38"/>
  <c r="T51" i="38"/>
  <c r="R51" i="38"/>
  <c r="J51" i="38"/>
  <c r="H51" i="38"/>
  <c r="F51" i="38"/>
  <c r="D51" i="38"/>
  <c r="B51" i="38"/>
  <c r="AA50" i="38"/>
  <c r="X50" i="38"/>
  <c r="V50" i="38"/>
  <c r="T50" i="38"/>
  <c r="R50" i="38"/>
  <c r="J50" i="38"/>
  <c r="H50" i="38"/>
  <c r="D50" i="38"/>
  <c r="B50" i="38"/>
  <c r="AA49" i="38"/>
  <c r="X49" i="38"/>
  <c r="V49" i="38"/>
  <c r="T49" i="38"/>
  <c r="R49" i="38"/>
  <c r="J49" i="38"/>
  <c r="H49" i="38"/>
  <c r="D49" i="38"/>
  <c r="B49" i="38"/>
  <c r="X48" i="38"/>
  <c r="V48" i="38"/>
  <c r="T48" i="38"/>
  <c r="R48" i="38"/>
  <c r="J48" i="38"/>
  <c r="D48" i="38"/>
  <c r="B48" i="38"/>
  <c r="X47" i="38"/>
  <c r="V47" i="38"/>
  <c r="T47" i="38"/>
  <c r="R47" i="38"/>
  <c r="J47" i="38"/>
  <c r="D47" i="38"/>
  <c r="B47" i="38"/>
  <c r="AA46" i="38"/>
  <c r="X46" i="38"/>
  <c r="V46" i="38"/>
  <c r="T46" i="38"/>
  <c r="R46" i="38"/>
  <c r="J46" i="38"/>
  <c r="D46" i="38"/>
  <c r="B46" i="38"/>
  <c r="AA45" i="38"/>
  <c r="X45" i="38"/>
  <c r="V45" i="38"/>
  <c r="T45" i="38"/>
  <c r="R45" i="38"/>
  <c r="J45" i="38"/>
  <c r="H45" i="38"/>
  <c r="D45" i="38"/>
  <c r="B45" i="38"/>
  <c r="AA44" i="38"/>
  <c r="X44" i="38"/>
  <c r="V44" i="38"/>
  <c r="T44" i="38"/>
  <c r="R44" i="38"/>
  <c r="J44" i="38"/>
  <c r="H44" i="38"/>
  <c r="F44" i="38"/>
  <c r="D44" i="38"/>
  <c r="B44" i="38"/>
  <c r="AA43" i="38"/>
  <c r="X43" i="38"/>
  <c r="V43" i="38"/>
  <c r="T43" i="38"/>
  <c r="R43" i="38"/>
  <c r="J43" i="38"/>
  <c r="H43" i="38"/>
  <c r="D43" i="38"/>
  <c r="B43" i="38"/>
  <c r="AA42" i="38"/>
  <c r="X42" i="38"/>
  <c r="V42" i="38"/>
  <c r="T42" i="38"/>
  <c r="R42" i="38"/>
  <c r="J42" i="38"/>
  <c r="H42" i="38"/>
  <c r="D42" i="38"/>
  <c r="B42" i="38"/>
  <c r="X37" i="38"/>
  <c r="V37" i="38"/>
  <c r="T37" i="38"/>
  <c r="R37" i="38"/>
  <c r="J37" i="38"/>
  <c r="D37" i="38"/>
  <c r="B37" i="38"/>
  <c r="N36" i="38"/>
  <c r="N53" i="38" s="1"/>
  <c r="N35" i="38"/>
  <c r="N52" i="38" s="1"/>
  <c r="N34" i="38"/>
  <c r="N33" i="38"/>
  <c r="N50" i="38" s="1"/>
  <c r="F33" i="38"/>
  <c r="F50" i="38" s="1"/>
  <c r="N32" i="38"/>
  <c r="F32" i="38"/>
  <c r="F49" i="38" s="1"/>
  <c r="AA31" i="38"/>
  <c r="AA48" i="38" s="1"/>
  <c r="N31" i="38"/>
  <c r="N48" i="38" s="1"/>
  <c r="H31" i="38"/>
  <c r="H48" i="38" s="1"/>
  <c r="F31" i="38"/>
  <c r="F48" i="38" s="1"/>
  <c r="AA30" i="38"/>
  <c r="AA47" i="38" s="1"/>
  <c r="N30" i="38"/>
  <c r="H30" i="38"/>
  <c r="H47" i="38" s="1"/>
  <c r="F30" i="38"/>
  <c r="F47" i="38" s="1"/>
  <c r="N29" i="38"/>
  <c r="H29" i="38"/>
  <c r="H46" i="38" s="1"/>
  <c r="F29" i="38"/>
  <c r="F46" i="38" s="1"/>
  <c r="N28" i="38"/>
  <c r="F28" i="38"/>
  <c r="F45" i="38" s="1"/>
  <c r="W21" i="38"/>
  <c r="S21" i="38"/>
  <c r="K21" i="38"/>
  <c r="I21" i="38"/>
  <c r="G21" i="38"/>
  <c r="E21" i="38"/>
  <c r="C21" i="38"/>
  <c r="AD20" i="38"/>
  <c r="AA20" i="38"/>
  <c r="Z20" i="38"/>
  <c r="Y20" i="38"/>
  <c r="X20" i="38"/>
  <c r="W20" i="38"/>
  <c r="V20" i="38"/>
  <c r="U20" i="38"/>
  <c r="T20" i="38"/>
  <c r="S20" i="38"/>
  <c r="R20" i="38"/>
  <c r="O20" i="38"/>
  <c r="J20" i="38"/>
  <c r="I20" i="38"/>
  <c r="H20" i="38"/>
  <c r="G20" i="38"/>
  <c r="F20" i="38"/>
  <c r="E20" i="38"/>
  <c r="D20" i="38"/>
  <c r="C20" i="38"/>
  <c r="B20" i="38"/>
  <c r="N17" i="38"/>
  <c r="N15" i="38"/>
  <c r="N13" i="38"/>
  <c r="N12" i="38"/>
  <c r="N11" i="38"/>
  <c r="N44" i="38"/>
  <c r="N9" i="38"/>
  <c r="N43" i="38" s="1"/>
  <c r="N8" i="38"/>
  <c r="N42" i="38" s="1"/>
  <c r="P213" i="38" l="1"/>
  <c r="P214" i="38"/>
  <c r="R223" i="38"/>
  <c r="AE21" i="38"/>
  <c r="P211" i="38"/>
  <c r="N45" i="38"/>
  <c r="N46" i="38"/>
  <c r="P216" i="38"/>
  <c r="N37" i="38"/>
  <c r="R54" i="38"/>
  <c r="U93" i="38"/>
  <c r="AA37" i="38"/>
  <c r="AA54" i="38" s="1"/>
  <c r="F223" i="38"/>
  <c r="N47" i="38"/>
  <c r="C223" i="38"/>
  <c r="N51" i="38"/>
  <c r="N49" i="38"/>
  <c r="B93" i="38"/>
  <c r="V21" i="38"/>
  <c r="H93" i="38"/>
  <c r="AC133" i="38"/>
  <c r="T54" i="38"/>
  <c r="U223" i="38"/>
  <c r="G223" i="38"/>
  <c r="X54" i="38"/>
  <c r="J93" i="38"/>
  <c r="AA93" i="38"/>
  <c r="E223" i="38"/>
  <c r="V223" i="38"/>
  <c r="H223" i="38"/>
  <c r="B54" i="38"/>
  <c r="AA149" i="38"/>
  <c r="W223" i="38"/>
  <c r="V54" i="38"/>
  <c r="F37" i="38"/>
  <c r="S223" i="38"/>
  <c r="J54" i="38"/>
  <c r="AD166" i="38"/>
  <c r="D223" i="38"/>
  <c r="T223" i="38"/>
  <c r="D54" i="38"/>
  <c r="D110" i="38"/>
  <c r="X110" i="38"/>
  <c r="AE133" i="38"/>
  <c r="Y21" i="38"/>
  <c r="B223" i="38"/>
  <c r="U110" i="38"/>
  <c r="X166" i="38"/>
  <c r="U166" i="38"/>
  <c r="H54" i="38"/>
  <c r="R110" i="38"/>
  <c r="R166" i="38"/>
  <c r="B110" i="38"/>
  <c r="F54" i="38"/>
  <c r="F110" i="38"/>
  <c r="R149" i="38"/>
  <c r="AA105" i="38"/>
  <c r="AA110" i="38" s="1"/>
  <c r="H98" i="38"/>
  <c r="H110" i="38" s="1"/>
  <c r="R93" i="38"/>
  <c r="J98" i="38"/>
  <c r="J110" i="38" s="1"/>
  <c r="AA154" i="38"/>
  <c r="AA166" i="38" s="1"/>
  <c r="U149" i="38"/>
  <c r="N20" i="38"/>
  <c r="F93" i="38"/>
  <c r="O21" i="38"/>
  <c r="H37" i="38"/>
  <c r="X149" i="38"/>
  <c r="N54" i="38" l="1"/>
  <c r="L105" i="35"/>
  <c r="L89" i="35"/>
  <c r="L20" i="3" l="1"/>
  <c r="K105" i="35" l="1"/>
  <c r="J105" i="35"/>
  <c r="I105" i="35"/>
  <c r="G105" i="35"/>
  <c r="F105" i="35"/>
  <c r="E105" i="35"/>
  <c r="D105" i="35"/>
  <c r="C105" i="35"/>
  <c r="B105" i="35"/>
  <c r="H104" i="35"/>
  <c r="H103" i="35"/>
  <c r="H105" i="35" s="1"/>
  <c r="T99" i="35"/>
  <c r="T97" i="35"/>
  <c r="U96" i="35"/>
  <c r="T96" i="35"/>
  <c r="U95" i="35"/>
  <c r="T95" i="35"/>
  <c r="U94" i="35"/>
  <c r="T94" i="35"/>
  <c r="U93" i="35"/>
  <c r="T93" i="35"/>
  <c r="K89" i="35"/>
  <c r="J89" i="35"/>
  <c r="I89" i="35"/>
  <c r="G89" i="35"/>
  <c r="F89" i="35"/>
  <c r="E89" i="35"/>
  <c r="D89" i="35"/>
  <c r="C89" i="35"/>
  <c r="B89" i="35"/>
  <c r="H88" i="35"/>
  <c r="U80" i="35"/>
  <c r="T79" i="35"/>
  <c r="X71" i="35"/>
  <c r="W71" i="35"/>
  <c r="X70" i="35"/>
  <c r="W70" i="35"/>
  <c r="X69" i="35"/>
  <c r="W69" i="35"/>
  <c r="S69" i="35"/>
  <c r="R69" i="35"/>
  <c r="M69" i="35"/>
  <c r="L69" i="35"/>
  <c r="J69" i="35"/>
  <c r="I69" i="35"/>
  <c r="H69" i="35"/>
  <c r="G69" i="35"/>
  <c r="F69" i="35"/>
  <c r="E69" i="35"/>
  <c r="D69" i="35"/>
  <c r="C69" i="35"/>
  <c r="B69" i="35"/>
  <c r="X68" i="35"/>
  <c r="W68" i="35"/>
  <c r="X67" i="35"/>
  <c r="W67" i="35"/>
  <c r="X66" i="35"/>
  <c r="W66" i="35"/>
  <c r="X65" i="35"/>
  <c r="W65" i="35"/>
  <c r="X64" i="35"/>
  <c r="W64" i="35"/>
  <c r="X63" i="35"/>
  <c r="W63" i="35"/>
  <c r="X62" i="35"/>
  <c r="W62" i="35"/>
  <c r="X61" i="35"/>
  <c r="W61" i="35"/>
  <c r="W60" i="35"/>
  <c r="W59" i="35"/>
  <c r="X58" i="35"/>
  <c r="W58" i="35"/>
  <c r="X57" i="35"/>
  <c r="W57" i="35"/>
  <c r="X53" i="35"/>
  <c r="W53" i="35"/>
  <c r="X52" i="35"/>
  <c r="W52" i="35"/>
  <c r="X51" i="35"/>
  <c r="W51" i="35"/>
  <c r="S51" i="35"/>
  <c r="R51" i="35"/>
  <c r="M51" i="35"/>
  <c r="L51" i="35"/>
  <c r="K51" i="35"/>
  <c r="J51" i="35"/>
  <c r="I51" i="35"/>
  <c r="H51" i="35"/>
  <c r="G51" i="35"/>
  <c r="F51" i="35"/>
  <c r="E51" i="35"/>
  <c r="D51" i="35"/>
  <c r="C51" i="35"/>
  <c r="B51" i="35"/>
  <c r="X50" i="35"/>
  <c r="W50" i="35"/>
  <c r="X49" i="35"/>
  <c r="W49" i="35"/>
  <c r="X48" i="35"/>
  <c r="W48" i="35"/>
  <c r="X47" i="35"/>
  <c r="W47" i="35"/>
  <c r="X46" i="35"/>
  <c r="W46" i="35"/>
  <c r="X45" i="35"/>
  <c r="W45" i="35"/>
  <c r="X44" i="35"/>
  <c r="W44" i="35"/>
  <c r="X43" i="35"/>
  <c r="W43" i="35"/>
  <c r="W42" i="35"/>
  <c r="W41" i="35"/>
  <c r="X40" i="35"/>
  <c r="W40" i="35"/>
  <c r="X39" i="35"/>
  <c r="W39" i="35"/>
  <c r="S33" i="35"/>
  <c r="R33" i="35"/>
  <c r="M33" i="35"/>
  <c r="L33" i="35"/>
  <c r="K33" i="35"/>
  <c r="J33" i="35"/>
  <c r="I33" i="35"/>
  <c r="H33" i="35"/>
  <c r="G33" i="35"/>
  <c r="F33" i="35"/>
  <c r="E33" i="35"/>
  <c r="D33" i="35"/>
  <c r="C33" i="35"/>
  <c r="B33" i="35"/>
  <c r="S15" i="35"/>
  <c r="R15" i="35"/>
  <c r="M15" i="35"/>
  <c r="L15" i="35"/>
  <c r="K15" i="35"/>
  <c r="J15" i="35"/>
  <c r="I15" i="35"/>
  <c r="H15" i="35"/>
  <c r="G15" i="35"/>
  <c r="F15" i="35"/>
  <c r="E15" i="35"/>
  <c r="D15" i="35"/>
  <c r="C15" i="35"/>
  <c r="B15" i="35"/>
  <c r="H89" i="35" l="1"/>
  <c r="T98" i="35"/>
  <c r="P273" i="26"/>
  <c r="D273" i="26" l="1"/>
  <c r="O290" i="26" l="1"/>
  <c r="N290" i="26"/>
  <c r="I290" i="26"/>
  <c r="C290" i="26"/>
  <c r="J289" i="26"/>
  <c r="P288" i="26"/>
  <c r="J288" i="26"/>
  <c r="D288" i="26"/>
  <c r="P287" i="26"/>
  <c r="J287" i="26"/>
  <c r="D287" i="26"/>
  <c r="P286" i="26"/>
  <c r="J286" i="26"/>
  <c r="D286" i="26"/>
  <c r="P285" i="26"/>
  <c r="J285" i="26"/>
  <c r="D285" i="26"/>
  <c r="P284" i="26"/>
  <c r="J284" i="26"/>
  <c r="D284" i="26"/>
  <c r="P283" i="26"/>
  <c r="J283" i="26"/>
  <c r="D283" i="26"/>
  <c r="P282" i="26"/>
  <c r="J282" i="26"/>
  <c r="D282" i="26"/>
  <c r="P281" i="26"/>
  <c r="J281" i="26"/>
  <c r="D281" i="26"/>
  <c r="P280" i="26"/>
  <c r="J280" i="26"/>
  <c r="D280" i="26"/>
  <c r="P279" i="26"/>
  <c r="P278" i="26"/>
  <c r="J278" i="26"/>
  <c r="D278" i="26"/>
  <c r="W17" i="3"/>
  <c r="W16" i="3"/>
  <c r="W15" i="3"/>
  <c r="W14" i="3"/>
  <c r="W12" i="3"/>
  <c r="W11" i="3"/>
  <c r="W10" i="3"/>
  <c r="W9" i="3"/>
  <c r="P290" i="26" l="1"/>
  <c r="P272" i="26"/>
  <c r="D272" i="26" l="1"/>
  <c r="J273" i="26" l="1"/>
  <c r="J272" i="26"/>
  <c r="J271" i="26" l="1"/>
  <c r="D271" i="26"/>
  <c r="P271" i="26" l="1"/>
  <c r="P270" i="26"/>
  <c r="J270" i="26"/>
  <c r="D270" i="26" l="1"/>
  <c r="L36" i="24" l="1"/>
  <c r="M36" i="24"/>
  <c r="L35" i="24"/>
  <c r="M35" i="24" s="1"/>
  <c r="J269" i="26" l="1"/>
  <c r="D269" i="26"/>
  <c r="J268" i="26"/>
  <c r="D268" i="26"/>
  <c r="P269" i="26"/>
  <c r="P268" i="26"/>
  <c r="P267" i="26"/>
  <c r="J267" i="26"/>
  <c r="D267" i="26"/>
  <c r="AL42" i="3"/>
  <c r="AL43" i="3"/>
  <c r="AL44" i="3"/>
  <c r="AL45" i="3"/>
  <c r="AL46" i="3"/>
  <c r="AL47" i="3"/>
  <c r="AL48" i="3"/>
  <c r="AL49" i="3"/>
  <c r="AL50" i="3"/>
  <c r="AL51" i="3"/>
  <c r="AL25" i="3"/>
  <c r="AL26" i="3"/>
  <c r="AL27" i="3"/>
  <c r="AL28" i="3"/>
  <c r="AL29" i="3"/>
  <c r="AL30" i="3"/>
  <c r="AL31" i="3"/>
  <c r="AL32" i="3"/>
  <c r="AL33" i="3"/>
  <c r="AL34" i="3"/>
  <c r="AL35" i="3"/>
  <c r="AL8" i="3"/>
  <c r="W8" i="3"/>
  <c r="W42" i="3"/>
  <c r="W43" i="3"/>
  <c r="W44" i="3"/>
  <c r="W45" i="3"/>
  <c r="W46" i="3"/>
  <c r="W47" i="3"/>
  <c r="W48" i="3"/>
  <c r="W49" i="3"/>
  <c r="W25" i="3"/>
  <c r="W26" i="3"/>
  <c r="W27" i="3"/>
  <c r="W28" i="3"/>
  <c r="W29" i="3"/>
  <c r="W30" i="3"/>
  <c r="W31" i="3"/>
  <c r="W32" i="3"/>
  <c r="W33" i="3"/>
  <c r="W34" i="3"/>
  <c r="S37" i="3"/>
  <c r="R37" i="3"/>
  <c r="Q37" i="3"/>
  <c r="P37" i="3"/>
  <c r="O37" i="3"/>
  <c r="N37" i="3"/>
  <c r="M37" i="3"/>
  <c r="L37" i="3"/>
  <c r="K37" i="3"/>
  <c r="P266" i="26"/>
  <c r="J266" i="26"/>
  <c r="D266" i="26"/>
  <c r="P265" i="26"/>
  <c r="P264" i="26"/>
  <c r="J265" i="26"/>
  <c r="J264" i="26"/>
  <c r="D265" i="26"/>
  <c r="D264" i="26"/>
  <c r="P263" i="26" l="1"/>
  <c r="J263" i="26"/>
  <c r="D263" i="26"/>
  <c r="P262" i="26" l="1"/>
  <c r="J262" i="26"/>
  <c r="D262" i="26"/>
  <c r="O274" i="26" l="1"/>
  <c r="P274" i="26" s="1"/>
  <c r="N274" i="26"/>
  <c r="I274" i="26"/>
  <c r="J274" i="26" s="1"/>
  <c r="H274" i="26"/>
  <c r="C274" i="26"/>
  <c r="D274" i="26" s="1"/>
  <c r="B274" i="26"/>
  <c r="P256" i="26"/>
  <c r="J256" i="26"/>
  <c r="D256" i="26"/>
  <c r="AI20" i="3"/>
  <c r="AH20" i="3"/>
  <c r="AG20" i="3"/>
  <c r="AF20" i="3"/>
  <c r="AE20" i="3"/>
  <c r="AD20" i="3"/>
  <c r="AL3" i="3" s="1"/>
  <c r="AC20" i="3"/>
  <c r="AB20" i="3"/>
  <c r="Y20" i="3"/>
  <c r="AL18" i="3"/>
  <c r="AL17" i="3"/>
  <c r="AL16" i="3"/>
  <c r="AL15" i="3"/>
  <c r="AL14" i="3"/>
  <c r="AL12" i="3"/>
  <c r="AL11" i="3"/>
  <c r="D57" i="3"/>
  <c r="D58" i="3"/>
  <c r="D59" i="3"/>
  <c r="D60" i="3"/>
  <c r="D61" i="3"/>
  <c r="D62" i="3"/>
  <c r="D63" i="3"/>
  <c r="D64" i="3"/>
  <c r="D65" i="3"/>
  <c r="D66" i="3"/>
  <c r="D67" i="3"/>
  <c r="D68" i="3"/>
  <c r="B69" i="3"/>
  <c r="C69" i="3"/>
  <c r="D73" i="3"/>
  <c r="D74" i="3"/>
  <c r="D75" i="3"/>
  <c r="D76" i="3"/>
  <c r="D77" i="3"/>
  <c r="D78" i="3"/>
  <c r="D79" i="3"/>
  <c r="D80" i="3"/>
  <c r="D81" i="3"/>
  <c r="D82" i="3"/>
  <c r="D83" i="3"/>
  <c r="D84" i="3"/>
  <c r="B85" i="3"/>
  <c r="C85" i="3"/>
  <c r="G20" i="3"/>
  <c r="C20" i="3"/>
  <c r="B20" i="3"/>
  <c r="I19" i="3"/>
  <c r="D19" i="3"/>
  <c r="I18" i="3"/>
  <c r="D18" i="3"/>
  <c r="I17" i="3"/>
  <c r="D17" i="3"/>
  <c r="I16" i="3"/>
  <c r="D16" i="3"/>
  <c r="D15" i="3"/>
  <c r="I14" i="3"/>
  <c r="D14" i="3"/>
  <c r="I13" i="3"/>
  <c r="D13" i="3"/>
  <c r="I12" i="3"/>
  <c r="D12" i="3"/>
  <c r="I11" i="3"/>
  <c r="D11" i="3"/>
  <c r="I10" i="3"/>
  <c r="D10" i="3"/>
  <c r="I9" i="3"/>
  <c r="D9" i="3"/>
  <c r="I8" i="3"/>
  <c r="D8" i="3"/>
  <c r="M79" i="24"/>
  <c r="M61" i="24"/>
  <c r="D85" i="3" l="1"/>
  <c r="D69" i="3"/>
  <c r="D20" i="3"/>
  <c r="P255" i="26"/>
  <c r="J255" i="26"/>
  <c r="D255" i="26"/>
  <c r="P254" i="26"/>
  <c r="J254" i="26"/>
  <c r="D253" i="26"/>
  <c r="D254" i="26"/>
  <c r="P253" i="26" l="1"/>
  <c r="J253" i="26"/>
  <c r="P252" i="26"/>
  <c r="J252" i="26"/>
  <c r="D252" i="26"/>
  <c r="P251" i="26"/>
  <c r="J251" i="26"/>
  <c r="D251" i="26"/>
  <c r="J250" i="26" l="1"/>
  <c r="D250" i="26"/>
  <c r="P250" i="26"/>
  <c r="P249" i="26"/>
  <c r="E68" i="24"/>
  <c r="F68" i="24" s="1"/>
  <c r="P248" i="26"/>
  <c r="J249" i="26"/>
  <c r="D249" i="26"/>
  <c r="G68" i="24" l="1"/>
  <c r="H68" i="24" s="1"/>
  <c r="J248" i="26" l="1"/>
  <c r="D248" i="26"/>
  <c r="D4" i="24" l="1"/>
  <c r="P247" i="26"/>
  <c r="J247" i="26"/>
  <c r="D247" i="26"/>
  <c r="P246" i="26" l="1"/>
  <c r="J246" i="26"/>
  <c r="D246" i="26"/>
  <c r="T54" i="3" l="1"/>
  <c r="S54" i="3"/>
  <c r="R54" i="3"/>
  <c r="Q54" i="3"/>
  <c r="P54" i="3"/>
  <c r="O54" i="3"/>
  <c r="N54" i="3"/>
  <c r="M54" i="3"/>
  <c r="L54" i="3"/>
  <c r="K54" i="3"/>
  <c r="P239" i="26" l="1"/>
  <c r="J239" i="26"/>
  <c r="D239" i="26"/>
  <c r="O257" i="26"/>
  <c r="P257" i="26" s="1"/>
  <c r="N257" i="26"/>
  <c r="I257" i="26"/>
  <c r="J257" i="26" s="1"/>
  <c r="H257" i="26"/>
  <c r="C257" i="26"/>
  <c r="D257" i="26" s="1"/>
  <c r="B257" i="26"/>
  <c r="P245" i="26"/>
  <c r="J245" i="26"/>
  <c r="D245" i="26"/>
  <c r="P238" i="26" l="1"/>
  <c r="J238" i="26"/>
  <c r="D238" i="26"/>
  <c r="P237" i="26"/>
  <c r="J237" i="26"/>
  <c r="D237" i="26"/>
  <c r="P236" i="26"/>
  <c r="J236" i="26"/>
  <c r="D236" i="26"/>
  <c r="P235" i="26" l="1"/>
  <c r="J235" i="26"/>
  <c r="D235" i="26"/>
  <c r="P234" i="26"/>
  <c r="J234" i="26"/>
  <c r="D234" i="26"/>
  <c r="M77" i="24"/>
  <c r="F84" i="24"/>
  <c r="G84" i="24" s="1"/>
  <c r="P233" i="26"/>
  <c r="J233" i="26"/>
  <c r="D233" i="26"/>
  <c r="H84" i="24" l="1"/>
  <c r="M60" i="24"/>
  <c r="K6" i="24" l="1"/>
  <c r="P232" i="26"/>
  <c r="J232" i="26"/>
  <c r="D232" i="26"/>
  <c r="P231" i="26" l="1"/>
  <c r="J231" i="26"/>
  <c r="D231" i="26"/>
  <c r="P230" i="26" l="1"/>
  <c r="J230" i="26"/>
  <c r="D230" i="26"/>
  <c r="P229" i="26"/>
  <c r="M37" i="24" l="1"/>
  <c r="M34" i="24"/>
  <c r="M33" i="24"/>
  <c r="M31" i="24"/>
  <c r="J229" i="26"/>
  <c r="D229" i="26"/>
  <c r="E21" i="24"/>
  <c r="P228" i="26"/>
  <c r="J228" i="26"/>
  <c r="D228" i="26"/>
  <c r="G21" i="24" l="1"/>
  <c r="F21" i="24"/>
  <c r="C19" i="2" s="1"/>
  <c r="C20" i="2" s="1"/>
  <c r="O240" i="26" l="1"/>
  <c r="P240" i="26" s="1"/>
  <c r="N240" i="26"/>
  <c r="I240" i="26"/>
  <c r="J240" i="26" s="1"/>
  <c r="H240" i="26"/>
  <c r="C240" i="26"/>
  <c r="D240" i="26" s="1"/>
  <c r="B240" i="26"/>
  <c r="P222" i="26"/>
  <c r="J222" i="26"/>
  <c r="D222" i="26"/>
  <c r="H36" i="3" l="1"/>
  <c r="G36" i="3"/>
  <c r="C36" i="3"/>
  <c r="B36" i="3"/>
  <c r="I35" i="3"/>
  <c r="D35" i="3"/>
  <c r="I34" i="3"/>
  <c r="D34" i="3"/>
  <c r="I33" i="3"/>
  <c r="D33" i="3"/>
  <c r="I32" i="3"/>
  <c r="D32" i="3"/>
  <c r="I31" i="3"/>
  <c r="D31" i="3"/>
  <c r="I30" i="3"/>
  <c r="D30" i="3"/>
  <c r="I29" i="3"/>
  <c r="D29" i="3"/>
  <c r="I28" i="3"/>
  <c r="D28" i="3"/>
  <c r="I27" i="3"/>
  <c r="D27" i="3"/>
  <c r="I26" i="3"/>
  <c r="D26" i="3"/>
  <c r="I25" i="3"/>
  <c r="D25" i="3"/>
  <c r="I24" i="3"/>
  <c r="D24" i="3"/>
  <c r="D36" i="3" l="1"/>
  <c r="I36" i="3"/>
  <c r="E20" i="29" l="1"/>
  <c r="D20" i="29"/>
  <c r="B20" i="29"/>
  <c r="P221" i="26"/>
  <c r="J221" i="26"/>
  <c r="D221" i="26"/>
  <c r="F20" i="29" l="1"/>
  <c r="E30" i="24"/>
  <c r="E31" i="24"/>
  <c r="E32" i="24"/>
  <c r="E33" i="24"/>
  <c r="E34" i="24"/>
  <c r="E35" i="24"/>
  <c r="E36" i="24"/>
  <c r="E37" i="24"/>
  <c r="E38" i="24"/>
  <c r="E29" i="24"/>
  <c r="E22" i="24"/>
  <c r="F22" i="24" s="1"/>
  <c r="E23" i="24"/>
  <c r="E20" i="24"/>
  <c r="G23" i="24" l="1"/>
  <c r="F23" i="24"/>
  <c r="C32" i="2" s="1"/>
  <c r="P220" i="26"/>
  <c r="J220" i="26"/>
  <c r="D220" i="26"/>
  <c r="P219" i="26" l="1"/>
  <c r="J219" i="26"/>
  <c r="D219" i="26"/>
  <c r="A44" i="2" l="1"/>
  <c r="D54" i="2" l="1"/>
  <c r="P218" i="26" l="1"/>
  <c r="P217" i="26"/>
  <c r="J218" i="26"/>
  <c r="J217" i="26"/>
  <c r="D218" i="26" l="1"/>
  <c r="D217" i="26"/>
  <c r="E47" i="24" l="1"/>
  <c r="F47" i="24" s="1"/>
  <c r="P216" i="26"/>
  <c r="J216" i="26"/>
  <c r="D216" i="26"/>
  <c r="C51" i="2" l="1"/>
  <c r="G47" i="24"/>
  <c r="J215" i="26"/>
  <c r="D215" i="26"/>
  <c r="J6" i="24"/>
  <c r="G12" i="24"/>
  <c r="G11" i="24"/>
  <c r="K10" i="24"/>
  <c r="H20" i="3" l="1"/>
  <c r="I20" i="3" s="1"/>
  <c r="I15" i="3"/>
  <c r="J9" i="24"/>
  <c r="J12" i="24"/>
  <c r="P214" i="26"/>
  <c r="P215" i="26"/>
  <c r="C11" i="28"/>
  <c r="E20" i="22"/>
  <c r="C223" i="26"/>
  <c r="D223" i="26" s="1"/>
  <c r="B223" i="26"/>
  <c r="J214" i="26"/>
  <c r="D214" i="26"/>
  <c r="P213" i="26" l="1"/>
  <c r="J213" i="26"/>
  <c r="D213" i="26"/>
  <c r="P212" i="26" l="1"/>
  <c r="P211" i="26"/>
  <c r="J212" i="26"/>
  <c r="G107" i="24" l="1"/>
  <c r="G105" i="24"/>
  <c r="G91" i="24"/>
  <c r="J211" i="26"/>
  <c r="D211" i="26"/>
  <c r="P206" i="26" l="1"/>
  <c r="J202" i="26"/>
  <c r="J201" i="26"/>
  <c r="J200" i="26"/>
  <c r="J199" i="26"/>
  <c r="J198" i="26"/>
  <c r="J197" i="26"/>
  <c r="J196" i="26"/>
  <c r="J195" i="26"/>
  <c r="P189" i="26"/>
  <c r="P188" i="26"/>
  <c r="P187" i="26"/>
  <c r="P186" i="26"/>
  <c r="P185" i="26"/>
  <c r="P184" i="26"/>
  <c r="P183" i="26"/>
  <c r="P182" i="26"/>
  <c r="P181" i="26"/>
  <c r="P180" i="26"/>
  <c r="P179" i="26"/>
  <c r="P178" i="26"/>
  <c r="J189" i="26"/>
  <c r="J188" i="26"/>
  <c r="J187" i="26"/>
  <c r="J186" i="26"/>
  <c r="J185" i="26"/>
  <c r="J184" i="26"/>
  <c r="J183" i="26"/>
  <c r="J182" i="26"/>
  <c r="J181" i="26"/>
  <c r="J180" i="26"/>
  <c r="J179" i="26"/>
  <c r="J178" i="26"/>
  <c r="D189" i="26"/>
  <c r="D188" i="26"/>
  <c r="D187" i="26"/>
  <c r="D186" i="26"/>
  <c r="D185" i="26"/>
  <c r="D184" i="26"/>
  <c r="D183" i="26"/>
  <c r="D182" i="26"/>
  <c r="D181" i="26"/>
  <c r="D180" i="26"/>
  <c r="D179" i="26"/>
  <c r="D178" i="26"/>
  <c r="D195" i="26"/>
  <c r="D196" i="26"/>
  <c r="D197" i="26"/>
  <c r="D198" i="26"/>
  <c r="D199" i="26"/>
  <c r="D200" i="26"/>
  <c r="D201" i="26"/>
  <c r="D202" i="26"/>
  <c r="D203" i="26"/>
  <c r="D204" i="26"/>
  <c r="D205" i="26"/>
  <c r="D206" i="26"/>
  <c r="AF37" i="3"/>
  <c r="H190" i="26"/>
  <c r="O207" i="26"/>
  <c r="P207" i="26" s="1"/>
  <c r="N207" i="26"/>
  <c r="I207" i="26"/>
  <c r="J207" i="26" s="1"/>
  <c r="H207" i="26"/>
  <c r="C207" i="26"/>
  <c r="D207" i="26" s="1"/>
  <c r="B207" i="26"/>
  <c r="J206" i="26"/>
  <c r="P205" i="26"/>
  <c r="J205" i="26"/>
  <c r="P204" i="26"/>
  <c r="J204" i="26"/>
  <c r="P203" i="26"/>
  <c r="J203" i="26"/>
  <c r="P202" i="26"/>
  <c r="P201" i="26"/>
  <c r="P200" i="26"/>
  <c r="P199" i="26"/>
  <c r="P198" i="26"/>
  <c r="P197" i="26"/>
  <c r="P196" i="26"/>
  <c r="P195" i="26"/>
  <c r="G85" i="3"/>
  <c r="H85" i="3"/>
  <c r="I84" i="3"/>
  <c r="I83" i="3"/>
  <c r="I82" i="3"/>
  <c r="I81" i="3"/>
  <c r="I80" i="3"/>
  <c r="I79" i="3"/>
  <c r="I78" i="3"/>
  <c r="I77" i="3"/>
  <c r="I76" i="3"/>
  <c r="I75" i="3"/>
  <c r="I74" i="3"/>
  <c r="I73" i="3"/>
  <c r="G53" i="3"/>
  <c r="H53" i="3"/>
  <c r="I52" i="3"/>
  <c r="I51" i="3"/>
  <c r="I50" i="3"/>
  <c r="I49" i="3"/>
  <c r="I48" i="3"/>
  <c r="I47" i="3"/>
  <c r="I46" i="3"/>
  <c r="I45" i="3"/>
  <c r="I44" i="3"/>
  <c r="I43" i="3"/>
  <c r="I42" i="3"/>
  <c r="I41" i="3"/>
  <c r="G69" i="3"/>
  <c r="H69" i="3"/>
  <c r="I68" i="3"/>
  <c r="I67" i="3"/>
  <c r="I66" i="3"/>
  <c r="I65" i="3"/>
  <c r="I64" i="3"/>
  <c r="I63" i="3"/>
  <c r="I62" i="3"/>
  <c r="I61" i="3"/>
  <c r="I60" i="3"/>
  <c r="I59" i="3"/>
  <c r="I58" i="3"/>
  <c r="I57" i="3"/>
  <c r="C53" i="3"/>
  <c r="B53" i="3"/>
  <c r="D52" i="3"/>
  <c r="D51" i="3"/>
  <c r="D50" i="3"/>
  <c r="D49" i="3"/>
  <c r="D48" i="3"/>
  <c r="D47" i="3"/>
  <c r="D46" i="3"/>
  <c r="D45" i="3"/>
  <c r="D44" i="3"/>
  <c r="D43" i="3"/>
  <c r="D42" i="3"/>
  <c r="D41" i="3"/>
  <c r="O190" i="26"/>
  <c r="P190" i="26" s="1"/>
  <c r="N190" i="26"/>
  <c r="I190" i="26"/>
  <c r="J190" i="26" s="1"/>
  <c r="C190" i="26"/>
  <c r="D190" i="26" s="1"/>
  <c r="B190" i="26"/>
  <c r="AI37" i="3"/>
  <c r="AI54" i="3"/>
  <c r="AB37" i="3"/>
  <c r="AC37" i="3"/>
  <c r="AD37" i="3"/>
  <c r="AE37" i="3"/>
  <c r="AG37" i="3"/>
  <c r="AH37" i="3"/>
  <c r="AA37" i="3"/>
  <c r="C4" i="16"/>
  <c r="I4" i="16"/>
  <c r="C10" i="16"/>
  <c r="I10" i="16"/>
  <c r="O10" i="16"/>
  <c r="C11" i="16"/>
  <c r="I11" i="16"/>
  <c r="O11" i="16"/>
  <c r="C12" i="16"/>
  <c r="I12" i="16"/>
  <c r="O12" i="16"/>
  <c r="C13" i="16"/>
  <c r="I13" i="16"/>
  <c r="O16" i="16"/>
  <c r="C17" i="16"/>
  <c r="I17" i="16"/>
  <c r="O17" i="16"/>
  <c r="C18" i="16"/>
  <c r="I18" i="16"/>
  <c r="O18" i="16"/>
  <c r="C19" i="16"/>
  <c r="I19" i="16"/>
  <c r="C20" i="16"/>
  <c r="I20" i="16"/>
  <c r="O22" i="16"/>
  <c r="O23" i="16"/>
  <c r="I24" i="16"/>
  <c r="O24" i="16"/>
  <c r="I25" i="16"/>
  <c r="I26" i="16"/>
  <c r="C27" i="16"/>
  <c r="I27" i="16"/>
  <c r="O27" i="16"/>
  <c r="C28" i="16"/>
  <c r="C29" i="16"/>
  <c r="C30" i="16"/>
  <c r="O30" i="16"/>
  <c r="C34" i="16"/>
  <c r="C35" i="16"/>
  <c r="C36" i="16"/>
  <c r="C37" i="16"/>
  <c r="C41" i="16"/>
  <c r="C42" i="16"/>
  <c r="C43" i="16"/>
  <c r="C44" i="16"/>
  <c r="I48" i="16"/>
  <c r="I49" i="16"/>
  <c r="G3" i="17"/>
  <c r="O3" i="17"/>
  <c r="W3" i="17"/>
  <c r="AE3" i="17"/>
  <c r="D19" i="17"/>
  <c r="L19" i="17"/>
  <c r="T19" i="17"/>
  <c r="AB19" i="17"/>
  <c r="H3" i="22"/>
  <c r="G3" i="22" s="1"/>
  <c r="G5" i="22"/>
  <c r="G57" i="22" s="1"/>
  <c r="H6" i="17" s="1"/>
  <c r="G6" i="22"/>
  <c r="G58" i="22" s="1"/>
  <c r="H8" i="17" s="1"/>
  <c r="H6" i="22"/>
  <c r="H58" i="22" s="1"/>
  <c r="P8" i="17" s="1"/>
  <c r="G7" i="22"/>
  <c r="G60" i="22" s="1"/>
  <c r="H10" i="17" s="1"/>
  <c r="J12" i="22"/>
  <c r="J13" i="22"/>
  <c r="J14" i="22"/>
  <c r="J15" i="22"/>
  <c r="J16" i="22"/>
  <c r="J17" i="22"/>
  <c r="J18" i="22"/>
  <c r="J19" i="22"/>
  <c r="F20" i="22"/>
  <c r="F21" i="22" s="1"/>
  <c r="G20" i="22"/>
  <c r="G21" i="22" s="1"/>
  <c r="H25" i="22"/>
  <c r="G25" i="22" s="1"/>
  <c r="G27" i="22"/>
  <c r="G91" i="22" s="1"/>
  <c r="X6" i="17" s="1"/>
  <c r="G28" i="22"/>
  <c r="G92" i="22" s="1"/>
  <c r="X8" i="17" s="1"/>
  <c r="H28" i="22"/>
  <c r="H92" i="22" s="1"/>
  <c r="AF8" i="17" s="1"/>
  <c r="G29" i="22"/>
  <c r="G94" i="22" s="1"/>
  <c r="X10" i="17" s="1"/>
  <c r="J34" i="22"/>
  <c r="J35" i="22"/>
  <c r="E36" i="22"/>
  <c r="F36" i="22"/>
  <c r="G36" i="22"/>
  <c r="G42" i="22"/>
  <c r="H42" i="22"/>
  <c r="G43" i="22"/>
  <c r="G46" i="22"/>
  <c r="H46" i="22"/>
  <c r="G47" i="22"/>
  <c r="H47" i="22"/>
  <c r="G48" i="22"/>
  <c r="H48" i="22"/>
  <c r="G49" i="22"/>
  <c r="H49" i="22"/>
  <c r="G51" i="22"/>
  <c r="H51" i="22"/>
  <c r="G52" i="22"/>
  <c r="G80" i="22"/>
  <c r="G83" i="22"/>
  <c r="H85" i="22" s="1"/>
  <c r="G84" i="22"/>
  <c r="G86" i="22"/>
  <c r="D7" i="26"/>
  <c r="P7" i="26"/>
  <c r="D8" i="26"/>
  <c r="J8" i="26"/>
  <c r="P8" i="26"/>
  <c r="D9" i="26"/>
  <c r="J9" i="26"/>
  <c r="P9" i="26"/>
  <c r="J10" i="26"/>
  <c r="P10" i="26"/>
  <c r="D11" i="26"/>
  <c r="J11" i="26"/>
  <c r="P11" i="26"/>
  <c r="D12" i="26"/>
  <c r="J12" i="26"/>
  <c r="P12" i="26"/>
  <c r="D13" i="26"/>
  <c r="J13" i="26"/>
  <c r="P13" i="26"/>
  <c r="D14" i="26"/>
  <c r="J14" i="26"/>
  <c r="P14" i="26"/>
  <c r="D15" i="26"/>
  <c r="J15" i="26"/>
  <c r="P15" i="26"/>
  <c r="D16" i="26"/>
  <c r="J16" i="26"/>
  <c r="P16" i="26"/>
  <c r="D17" i="26"/>
  <c r="J17" i="26"/>
  <c r="P17" i="26"/>
  <c r="D18" i="26"/>
  <c r="J18" i="26"/>
  <c r="P18" i="26"/>
  <c r="B19" i="26"/>
  <c r="C19" i="26"/>
  <c r="H19" i="26"/>
  <c r="I19" i="26"/>
  <c r="N19" i="26"/>
  <c r="O19" i="26"/>
  <c r="B24" i="26"/>
  <c r="D24" i="26" s="1"/>
  <c r="J24" i="26"/>
  <c r="P24" i="26"/>
  <c r="B25" i="26"/>
  <c r="D25" i="26" s="1"/>
  <c r="J25" i="26"/>
  <c r="P25" i="26"/>
  <c r="D26" i="26"/>
  <c r="J26" i="26"/>
  <c r="P26" i="26"/>
  <c r="D27" i="26"/>
  <c r="J27" i="26"/>
  <c r="P27" i="26"/>
  <c r="B28" i="26"/>
  <c r="C28" i="26"/>
  <c r="C36" i="26" s="1"/>
  <c r="J28" i="26"/>
  <c r="P28" i="26"/>
  <c r="B29" i="26"/>
  <c r="D29" i="26" s="1"/>
  <c r="J29" i="26"/>
  <c r="P29" i="26"/>
  <c r="D30" i="26"/>
  <c r="J30" i="26"/>
  <c r="P30" i="26"/>
  <c r="J31" i="26"/>
  <c r="P31" i="26"/>
  <c r="J32" i="26"/>
  <c r="P32" i="26"/>
  <c r="B33" i="26"/>
  <c r="D33" i="26" s="1"/>
  <c r="J33" i="26"/>
  <c r="P33" i="26"/>
  <c r="D34" i="26"/>
  <c r="J34" i="26"/>
  <c r="P34" i="26"/>
  <c r="D35" i="26"/>
  <c r="J35" i="26"/>
  <c r="P35" i="26"/>
  <c r="H36" i="26"/>
  <c r="I36" i="26"/>
  <c r="J36" i="26"/>
  <c r="N36" i="26"/>
  <c r="O36" i="26"/>
  <c r="D41" i="26"/>
  <c r="J41" i="26"/>
  <c r="P41" i="26"/>
  <c r="D42" i="26"/>
  <c r="J42" i="26"/>
  <c r="P42" i="26"/>
  <c r="D43" i="26"/>
  <c r="J43" i="26"/>
  <c r="P43" i="26"/>
  <c r="D44" i="26"/>
  <c r="J44" i="26"/>
  <c r="P44" i="26"/>
  <c r="D45" i="26"/>
  <c r="J45" i="26"/>
  <c r="P45" i="26"/>
  <c r="D46" i="26"/>
  <c r="J46" i="26"/>
  <c r="P46" i="26"/>
  <c r="D47" i="26"/>
  <c r="J47" i="26"/>
  <c r="P47" i="26"/>
  <c r="D48" i="26"/>
  <c r="J48" i="26"/>
  <c r="P48" i="26"/>
  <c r="D49" i="26"/>
  <c r="J49" i="26"/>
  <c r="P49" i="26"/>
  <c r="D50" i="26"/>
  <c r="J50" i="26"/>
  <c r="P50" i="26"/>
  <c r="D51" i="26"/>
  <c r="J51" i="26"/>
  <c r="P51" i="26"/>
  <c r="D52" i="26"/>
  <c r="J52" i="26"/>
  <c r="P52" i="26"/>
  <c r="B53" i="26"/>
  <c r="C53" i="26"/>
  <c r="D53" i="26" s="1"/>
  <c r="H53" i="26"/>
  <c r="I53" i="26"/>
  <c r="N53" i="26"/>
  <c r="O53" i="26"/>
  <c r="D58" i="26"/>
  <c r="J58" i="26"/>
  <c r="P58" i="26"/>
  <c r="D59" i="26"/>
  <c r="J59" i="26"/>
  <c r="P59" i="26"/>
  <c r="D60" i="26"/>
  <c r="J60" i="26"/>
  <c r="P60" i="26"/>
  <c r="D61" i="26"/>
  <c r="J61" i="26"/>
  <c r="P61" i="26"/>
  <c r="D62" i="26"/>
  <c r="J62" i="26"/>
  <c r="P62" i="26"/>
  <c r="D63" i="26"/>
  <c r="J63" i="26"/>
  <c r="P63" i="26"/>
  <c r="D64" i="26"/>
  <c r="J64" i="26"/>
  <c r="P64" i="26"/>
  <c r="D65" i="26"/>
  <c r="J65" i="26"/>
  <c r="P65" i="26"/>
  <c r="D66" i="26"/>
  <c r="J66" i="26"/>
  <c r="P66" i="26"/>
  <c r="D67" i="26"/>
  <c r="J67" i="26"/>
  <c r="P67" i="26"/>
  <c r="D68" i="26"/>
  <c r="J68" i="26"/>
  <c r="P68" i="26"/>
  <c r="D69" i="26"/>
  <c r="J69" i="26"/>
  <c r="P69" i="26"/>
  <c r="B70" i="26"/>
  <c r="C70" i="26"/>
  <c r="D70" i="26" s="1"/>
  <c r="H70" i="26"/>
  <c r="I70" i="26"/>
  <c r="J70" i="26" s="1"/>
  <c r="N70" i="26"/>
  <c r="O70" i="26"/>
  <c r="D75" i="26"/>
  <c r="J75" i="26"/>
  <c r="P75" i="26"/>
  <c r="D76" i="26"/>
  <c r="J76" i="26"/>
  <c r="P76" i="26"/>
  <c r="D77" i="26"/>
  <c r="J77" i="26"/>
  <c r="P77" i="26"/>
  <c r="D78" i="26"/>
  <c r="J78" i="26"/>
  <c r="P78" i="26"/>
  <c r="D79" i="26"/>
  <c r="J79" i="26"/>
  <c r="D80" i="26"/>
  <c r="J80" i="26"/>
  <c r="P80" i="26"/>
  <c r="D81" i="26"/>
  <c r="J81" i="26"/>
  <c r="P81" i="26"/>
  <c r="D82" i="26"/>
  <c r="J82" i="26"/>
  <c r="P82" i="26"/>
  <c r="D83" i="26"/>
  <c r="J83" i="26"/>
  <c r="P83" i="26"/>
  <c r="D84" i="26"/>
  <c r="J84" i="26"/>
  <c r="P84" i="26"/>
  <c r="D85" i="26"/>
  <c r="J85" i="26"/>
  <c r="P85" i="26"/>
  <c r="D86" i="26"/>
  <c r="J86" i="26"/>
  <c r="P86" i="26"/>
  <c r="B87" i="26"/>
  <c r="C87" i="26"/>
  <c r="D87" i="26" s="1"/>
  <c r="H87" i="26"/>
  <c r="I87" i="26"/>
  <c r="N87" i="26"/>
  <c r="O87" i="26"/>
  <c r="P87" i="26" s="1"/>
  <c r="D92" i="26"/>
  <c r="J92" i="26"/>
  <c r="P92" i="26"/>
  <c r="D93" i="26"/>
  <c r="J93" i="26"/>
  <c r="P93" i="26"/>
  <c r="D94" i="26"/>
  <c r="J94" i="26"/>
  <c r="P94" i="26"/>
  <c r="D95" i="26"/>
  <c r="J95" i="26"/>
  <c r="D96" i="26"/>
  <c r="J96" i="26"/>
  <c r="P96" i="26"/>
  <c r="D97" i="26"/>
  <c r="J97" i="26"/>
  <c r="P97" i="26"/>
  <c r="D98" i="26"/>
  <c r="J98" i="26"/>
  <c r="P98" i="26"/>
  <c r="D99" i="26"/>
  <c r="J99" i="26"/>
  <c r="P99" i="26"/>
  <c r="D100" i="26"/>
  <c r="J100" i="26"/>
  <c r="P100" i="26"/>
  <c r="D101" i="26"/>
  <c r="J101" i="26"/>
  <c r="P101" i="26"/>
  <c r="D102" i="26"/>
  <c r="J102" i="26"/>
  <c r="P102" i="26"/>
  <c r="D103" i="26"/>
  <c r="J103" i="26"/>
  <c r="P103" i="26"/>
  <c r="B104" i="26"/>
  <c r="C104" i="26"/>
  <c r="H104" i="26"/>
  <c r="I104" i="26"/>
  <c r="N104" i="26"/>
  <c r="O104" i="26"/>
  <c r="D109" i="26"/>
  <c r="J109" i="26"/>
  <c r="P109" i="26"/>
  <c r="D110" i="26"/>
  <c r="J110" i="26"/>
  <c r="P110" i="26"/>
  <c r="D111" i="26"/>
  <c r="J111" i="26"/>
  <c r="P111" i="26"/>
  <c r="D112" i="26"/>
  <c r="J112" i="26"/>
  <c r="P112" i="26"/>
  <c r="D113" i="26"/>
  <c r="J113" i="26"/>
  <c r="P113" i="26"/>
  <c r="D114" i="26"/>
  <c r="J114" i="26"/>
  <c r="P114" i="26"/>
  <c r="D115" i="26"/>
  <c r="J115" i="26"/>
  <c r="P115" i="26"/>
  <c r="D116" i="26"/>
  <c r="J116" i="26"/>
  <c r="P116" i="26"/>
  <c r="D117" i="26"/>
  <c r="J117" i="26"/>
  <c r="P117" i="26"/>
  <c r="D118" i="26"/>
  <c r="J118" i="26"/>
  <c r="P118" i="26"/>
  <c r="D119" i="26"/>
  <c r="J119" i="26"/>
  <c r="P119" i="26"/>
  <c r="D120" i="26"/>
  <c r="J120" i="26"/>
  <c r="P120" i="26"/>
  <c r="B121" i="26"/>
  <c r="C121" i="26"/>
  <c r="D121" i="26" s="1"/>
  <c r="H121" i="26"/>
  <c r="I121" i="26"/>
  <c r="J121" i="26" s="1"/>
  <c r="N121" i="26"/>
  <c r="O121" i="26"/>
  <c r="P121" i="26" s="1"/>
  <c r="D126" i="26"/>
  <c r="J126" i="26"/>
  <c r="P126" i="26"/>
  <c r="D127" i="26"/>
  <c r="J127" i="26"/>
  <c r="P127" i="26"/>
  <c r="D128" i="26"/>
  <c r="J128" i="26"/>
  <c r="P128" i="26"/>
  <c r="D129" i="26"/>
  <c r="J129" i="26"/>
  <c r="P129" i="26"/>
  <c r="D130" i="26"/>
  <c r="J130" i="26"/>
  <c r="P130" i="26"/>
  <c r="D131" i="26"/>
  <c r="J131" i="26"/>
  <c r="P131" i="26"/>
  <c r="D132" i="26"/>
  <c r="J132" i="26"/>
  <c r="P132" i="26"/>
  <c r="D133" i="26"/>
  <c r="J133" i="26"/>
  <c r="P133" i="26"/>
  <c r="D134" i="26"/>
  <c r="J134" i="26"/>
  <c r="P134" i="26"/>
  <c r="D135" i="26"/>
  <c r="J135" i="26"/>
  <c r="P135" i="26"/>
  <c r="D136" i="26"/>
  <c r="J136" i="26"/>
  <c r="P136" i="26"/>
  <c r="D137" i="26"/>
  <c r="J137" i="26"/>
  <c r="P137" i="26"/>
  <c r="B138" i="26"/>
  <c r="C138" i="26"/>
  <c r="D138" i="26" s="1"/>
  <c r="H138" i="26"/>
  <c r="I138" i="26"/>
  <c r="J138" i="26" s="1"/>
  <c r="N138" i="26"/>
  <c r="O138" i="26"/>
  <c r="B139" i="26"/>
  <c r="D144" i="26"/>
  <c r="J144" i="26"/>
  <c r="P144" i="26"/>
  <c r="D145" i="26"/>
  <c r="J145" i="26"/>
  <c r="P145" i="26"/>
  <c r="D146" i="26"/>
  <c r="J146" i="26"/>
  <c r="P146" i="26"/>
  <c r="D147" i="26"/>
  <c r="J147" i="26"/>
  <c r="P147" i="26"/>
  <c r="D148" i="26"/>
  <c r="J148" i="26"/>
  <c r="P148" i="26"/>
  <c r="D149" i="26"/>
  <c r="J149" i="26"/>
  <c r="P149" i="26"/>
  <c r="D150" i="26"/>
  <c r="J150" i="26"/>
  <c r="P150" i="26"/>
  <c r="D151" i="26"/>
  <c r="J151" i="26"/>
  <c r="P151" i="26"/>
  <c r="D152" i="26"/>
  <c r="J152" i="26"/>
  <c r="P152" i="26"/>
  <c r="D153" i="26"/>
  <c r="J153" i="26"/>
  <c r="P153" i="26"/>
  <c r="D154" i="26"/>
  <c r="J154" i="26"/>
  <c r="P154" i="26"/>
  <c r="D155" i="26"/>
  <c r="J155" i="26"/>
  <c r="P155" i="26"/>
  <c r="B156" i="26"/>
  <c r="C156" i="26"/>
  <c r="D156" i="26" s="1"/>
  <c r="H156" i="26"/>
  <c r="I156" i="26"/>
  <c r="J156" i="26" s="1"/>
  <c r="N156" i="26"/>
  <c r="O156" i="26"/>
  <c r="P156" i="26" s="1"/>
  <c r="D161" i="26"/>
  <c r="J161" i="26"/>
  <c r="P161" i="26"/>
  <c r="D162" i="26"/>
  <c r="J162" i="26"/>
  <c r="P162" i="26"/>
  <c r="D163" i="26"/>
  <c r="J163" i="26"/>
  <c r="P163" i="26"/>
  <c r="D164" i="26"/>
  <c r="J164" i="26"/>
  <c r="P164" i="26"/>
  <c r="D165" i="26"/>
  <c r="J165" i="26"/>
  <c r="P165" i="26"/>
  <c r="D166" i="26"/>
  <c r="J166" i="26"/>
  <c r="P166" i="26"/>
  <c r="D167" i="26"/>
  <c r="J167" i="26"/>
  <c r="P167" i="26"/>
  <c r="D168" i="26"/>
  <c r="J168" i="26"/>
  <c r="P168" i="26"/>
  <c r="D169" i="26"/>
  <c r="J169" i="26"/>
  <c r="P169" i="26"/>
  <c r="D170" i="26"/>
  <c r="J170" i="26"/>
  <c r="P170" i="26"/>
  <c r="D171" i="26"/>
  <c r="J171" i="26"/>
  <c r="P171" i="26"/>
  <c r="D172" i="26"/>
  <c r="J172" i="26"/>
  <c r="P172" i="26"/>
  <c r="B173" i="26"/>
  <c r="C173" i="26"/>
  <c r="D173" i="26" s="1"/>
  <c r="H173" i="26"/>
  <c r="I173" i="26"/>
  <c r="J173" i="26" s="1"/>
  <c r="N173" i="26"/>
  <c r="O173" i="26"/>
  <c r="P173" i="26" s="1"/>
  <c r="H223" i="26"/>
  <c r="I223" i="26"/>
  <c r="J223" i="26" s="1"/>
  <c r="N223" i="26"/>
  <c r="O223" i="26"/>
  <c r="P223" i="26" s="1"/>
  <c r="D4" i="3"/>
  <c r="O4" i="3"/>
  <c r="AC4" i="3"/>
  <c r="K20" i="3"/>
  <c r="T37" i="3"/>
  <c r="M20" i="3"/>
  <c r="N20" i="3"/>
  <c r="O20" i="3"/>
  <c r="P20" i="3"/>
  <c r="Q20" i="3"/>
  <c r="R20" i="3"/>
  <c r="S20" i="3"/>
  <c r="T20" i="3"/>
  <c r="Y37" i="3"/>
  <c r="Z37" i="3"/>
  <c r="Y54" i="3"/>
  <c r="Z54" i="3"/>
  <c r="AA54" i="3"/>
  <c r="AB54" i="3"/>
  <c r="AC54" i="3"/>
  <c r="AD54" i="3"/>
  <c r="AE54" i="3"/>
  <c r="AF54" i="3"/>
  <c r="AG54" i="3"/>
  <c r="AH54" i="3"/>
  <c r="A14" i="2"/>
  <c r="C4" i="2" s="1"/>
  <c r="N4" i="2" s="1"/>
  <c r="O14" i="2" s="1"/>
  <c r="D38" i="2"/>
  <c r="A2" i="28"/>
  <c r="G5" i="28"/>
  <c r="C6" i="28"/>
  <c r="C8" i="28"/>
  <c r="C9" i="28"/>
  <c r="C10" i="28"/>
  <c r="C12" i="28"/>
  <c r="C13" i="28"/>
  <c r="C14" i="28"/>
  <c r="C15" i="28"/>
  <c r="C16" i="28"/>
  <c r="G24" i="28"/>
  <c r="C25" i="28"/>
  <c r="F25" i="28" s="1"/>
  <c r="F26" i="28" s="1"/>
  <c r="C27" i="28"/>
  <c r="C28" i="28"/>
  <c r="C29" i="28"/>
  <c r="C30" i="28"/>
  <c r="C31" i="28"/>
  <c r="C32" i="28"/>
  <c r="C33" i="28"/>
  <c r="C34" i="28"/>
  <c r="C35" i="28"/>
  <c r="C36" i="28"/>
  <c r="G43" i="28"/>
  <c r="C44" i="28"/>
  <c r="F44" i="28" s="1"/>
  <c r="C46" i="28"/>
  <c r="C47" i="28"/>
  <c r="C48" i="28"/>
  <c r="C49" i="28"/>
  <c r="C50" i="28"/>
  <c r="C51" i="28"/>
  <c r="C52" i="28"/>
  <c r="C54" i="28"/>
  <c r="C55" i="28"/>
  <c r="G4" i="24"/>
  <c r="J4" i="24"/>
  <c r="L4" i="24"/>
  <c r="L7" i="24"/>
  <c r="M7" i="24"/>
  <c r="L9" i="24"/>
  <c r="L10" i="24"/>
  <c r="F20" i="24"/>
  <c r="C31" i="2"/>
  <c r="C33" i="2"/>
  <c r="F29" i="24"/>
  <c r="F30" i="24"/>
  <c r="F31" i="24"/>
  <c r="F32" i="24"/>
  <c r="F33" i="24"/>
  <c r="F34" i="24"/>
  <c r="F35" i="24"/>
  <c r="F36" i="24"/>
  <c r="F37" i="24"/>
  <c r="F38" i="24"/>
  <c r="H39" i="24"/>
  <c r="E45" i="24"/>
  <c r="C50" i="2"/>
  <c r="E51" i="24"/>
  <c r="F51" i="24" s="1"/>
  <c r="E52" i="24"/>
  <c r="F52" i="24" s="1"/>
  <c r="F53" i="24"/>
  <c r="E54" i="24"/>
  <c r="F54" i="24" s="1"/>
  <c r="M55" i="24"/>
  <c r="F55" i="24"/>
  <c r="M56" i="24"/>
  <c r="F56" i="24"/>
  <c r="M57" i="24"/>
  <c r="F57" i="24"/>
  <c r="M58" i="24"/>
  <c r="M59" i="24"/>
  <c r="E67" i="24"/>
  <c r="F85" i="24"/>
  <c r="G85" i="24" s="1"/>
  <c r="H85" i="24" s="1"/>
  <c r="F101" i="24"/>
  <c r="G101" i="24" s="1"/>
  <c r="H101" i="24" s="1"/>
  <c r="F102" i="24"/>
  <c r="G102" i="24" s="1"/>
  <c r="H102" i="24" s="1"/>
  <c r="C108" i="24" s="1"/>
  <c r="O29" i="16" l="1"/>
  <c r="C92" i="24"/>
  <c r="J19" i="26"/>
  <c r="G50" i="22"/>
  <c r="G67" i="22" s="1"/>
  <c r="C19" i="17" s="1"/>
  <c r="O28" i="16"/>
  <c r="I85" i="3"/>
  <c r="G106" i="24"/>
  <c r="G104" i="24"/>
  <c r="G45" i="24"/>
  <c r="F45" i="24"/>
  <c r="F48" i="24" s="1"/>
  <c r="D7" i="24" s="1"/>
  <c r="F27" i="28"/>
  <c r="G27" i="28" s="1"/>
  <c r="B36" i="26"/>
  <c r="D19" i="26"/>
  <c r="P53" i="26"/>
  <c r="H50" i="22"/>
  <c r="H67" i="22" s="1"/>
  <c r="K19" i="17" s="1"/>
  <c r="I5" i="16"/>
  <c r="D36" i="26"/>
  <c r="G85" i="22"/>
  <c r="I53" i="3"/>
  <c r="P138" i="26"/>
  <c r="J104" i="26"/>
  <c r="C139" i="26"/>
  <c r="D139" i="26" s="1"/>
  <c r="J53" i="26"/>
  <c r="P19" i="26"/>
  <c r="D104" i="26"/>
  <c r="F67" i="24"/>
  <c r="E69" i="24"/>
  <c r="C45" i="28" s="1"/>
  <c r="D45" i="28" s="1"/>
  <c r="H56" i="22"/>
  <c r="H110" i="22"/>
  <c r="H76" i="22"/>
  <c r="I6" i="22"/>
  <c r="E1" i="24"/>
  <c r="D1" i="24"/>
  <c r="H90" i="22"/>
  <c r="H79" i="22"/>
  <c r="H41" i="22"/>
  <c r="D6" i="28"/>
  <c r="G14" i="24"/>
  <c r="G41" i="22"/>
  <c r="G56" i="22"/>
  <c r="G90" i="22"/>
  <c r="G110" i="22"/>
  <c r="G76" i="22"/>
  <c r="G79" i="22"/>
  <c r="G57" i="24"/>
  <c r="H57" i="24" s="1"/>
  <c r="G52" i="24"/>
  <c r="H52" i="24" s="1"/>
  <c r="I28" i="22"/>
  <c r="F39" i="24"/>
  <c r="J36" i="22"/>
  <c r="I51" i="22"/>
  <c r="I42" i="22"/>
  <c r="D25" i="28"/>
  <c r="E25" i="28" s="1"/>
  <c r="F6" i="28"/>
  <c r="I69" i="3"/>
  <c r="P70" i="26"/>
  <c r="D53" i="3"/>
  <c r="G25" i="28"/>
  <c r="H25" i="28" s="1"/>
  <c r="G55" i="24"/>
  <c r="H55" i="24" s="1"/>
  <c r="G56" i="24"/>
  <c r="H56" i="24" s="1"/>
  <c r="G54" i="24"/>
  <c r="H54" i="24" s="1"/>
  <c r="G53" i="24"/>
  <c r="H53" i="24" s="1"/>
  <c r="G51" i="24"/>
  <c r="H51" i="24" s="1"/>
  <c r="G36" i="24"/>
  <c r="H36" i="24" s="1"/>
  <c r="G34" i="24"/>
  <c r="H34" i="24" s="1"/>
  <c r="G32" i="24"/>
  <c r="F33" i="2" s="1"/>
  <c r="H33" i="2" s="1"/>
  <c r="G30" i="24"/>
  <c r="F26" i="2" s="1"/>
  <c r="G38" i="24"/>
  <c r="H38" i="24" s="1"/>
  <c r="G37" i="24"/>
  <c r="H37" i="24" s="1"/>
  <c r="G35" i="24"/>
  <c r="H35" i="24" s="1"/>
  <c r="G33" i="24"/>
  <c r="F22" i="2" s="1"/>
  <c r="H22" i="2" s="1"/>
  <c r="G31" i="24"/>
  <c r="H31" i="24" s="1"/>
  <c r="G29" i="24"/>
  <c r="H29" i="24" s="1"/>
  <c r="D44" i="28"/>
  <c r="E44" i="28" s="1"/>
  <c r="G46" i="24"/>
  <c r="G22" i="24"/>
  <c r="G20" i="24"/>
  <c r="P104" i="26"/>
  <c r="J87" i="26"/>
  <c r="P36" i="26"/>
  <c r="D28" i="26"/>
  <c r="J20" i="22"/>
  <c r="J21" i="22" s="1"/>
  <c r="O5" i="16"/>
  <c r="C5" i="16"/>
  <c r="D5" i="16" s="1"/>
  <c r="G67" i="24"/>
  <c r="E58" i="24"/>
  <c r="G58" i="24" s="1"/>
  <c r="G59" i="22"/>
  <c r="H9" i="17" s="1"/>
  <c r="E21" i="22"/>
  <c r="I92" i="22"/>
  <c r="G61" i="22"/>
  <c r="H11" i="17" s="1"/>
  <c r="C26" i="2"/>
  <c r="F25" i="24"/>
  <c r="C35" i="2"/>
  <c r="G44" i="28"/>
  <c r="H44" i="28" s="1"/>
  <c r="H101" i="22"/>
  <c r="AA19" i="17" s="1"/>
  <c r="G101" i="22"/>
  <c r="S19" i="17" s="1"/>
  <c r="E40" i="24"/>
  <c r="G95" i="22"/>
  <c r="G93" i="22"/>
  <c r="I58" i="22"/>
  <c r="H58" i="24" l="1"/>
  <c r="D5" i="24" s="1"/>
  <c r="E45" i="28"/>
  <c r="L45" i="28"/>
  <c r="G48" i="24"/>
  <c r="E6" i="28"/>
  <c r="M6" i="28" s="1"/>
  <c r="L6" i="28"/>
  <c r="F28" i="28"/>
  <c r="F29" i="28" s="1"/>
  <c r="F30" i="28" s="1"/>
  <c r="F31" i="28" s="1"/>
  <c r="F32" i="28" s="1"/>
  <c r="F33" i="28" s="1"/>
  <c r="F34" i="28" s="1"/>
  <c r="F35" i="28" s="1"/>
  <c r="F36" i="28" s="1"/>
  <c r="H29" i="22"/>
  <c r="I29" i="22" s="1"/>
  <c r="I189" i="38"/>
  <c r="O170" i="38" s="1"/>
  <c r="F45" i="28"/>
  <c r="F46" i="28" s="1"/>
  <c r="G46" i="28" s="1"/>
  <c r="M49" i="24"/>
  <c r="D26" i="28"/>
  <c r="E26" i="28" s="1"/>
  <c r="M26" i="28" s="1"/>
  <c r="G40" i="24"/>
  <c r="M22" i="24" s="1"/>
  <c r="C7" i="28"/>
  <c r="F7" i="28" s="1"/>
  <c r="F69" i="24"/>
  <c r="G69" i="24"/>
  <c r="G6" i="28"/>
  <c r="H6" i="28" s="1"/>
  <c r="M44" i="28"/>
  <c r="H32" i="24"/>
  <c r="K12" i="24"/>
  <c r="G111" i="24"/>
  <c r="H33" i="24"/>
  <c r="C49" i="2"/>
  <c r="C54" i="2" s="1"/>
  <c r="M25" i="28"/>
  <c r="L44" i="28"/>
  <c r="L25" i="28"/>
  <c r="M45" i="28"/>
  <c r="H30" i="24"/>
  <c r="B14" i="24" s="1"/>
  <c r="H23" i="2"/>
  <c r="F20" i="2"/>
  <c r="H20" i="2" s="1"/>
  <c r="F23" i="2"/>
  <c r="F28" i="2"/>
  <c r="G25" i="24"/>
  <c r="B7" i="24" s="1"/>
  <c r="F35" i="2"/>
  <c r="F58" i="24"/>
  <c r="H67" i="24"/>
  <c r="F40" i="24"/>
  <c r="X9" i="17"/>
  <c r="X11" i="17"/>
  <c r="F5" i="2"/>
  <c r="Q5" i="2"/>
  <c r="F6" i="2"/>
  <c r="Q6" i="2"/>
  <c r="C28" i="2"/>
  <c r="H26" i="2"/>
  <c r="G5" i="24" l="1"/>
  <c r="H69" i="24"/>
  <c r="L26" i="28"/>
  <c r="F47" i="28"/>
  <c r="G47" i="28" s="1"/>
  <c r="D46" i="28"/>
  <c r="E46" i="28" s="1"/>
  <c r="M46" i="28" s="1"/>
  <c r="D47" i="28"/>
  <c r="X215" i="38"/>
  <c r="AE170" i="38"/>
  <c r="O171" i="38"/>
  <c r="P171" i="38"/>
  <c r="G45" i="28"/>
  <c r="H45" i="28" s="1"/>
  <c r="H46" i="28" s="1"/>
  <c r="M51" i="24"/>
  <c r="M52" i="24"/>
  <c r="M48" i="24"/>
  <c r="M50" i="24"/>
  <c r="G26" i="28"/>
  <c r="H26" i="28" s="1"/>
  <c r="M47" i="24"/>
  <c r="D7" i="28"/>
  <c r="F8" i="28"/>
  <c r="D8" i="28"/>
  <c r="L8" i="28" s="1"/>
  <c r="G7" i="28"/>
  <c r="H7" i="28" s="1"/>
  <c r="D279" i="26"/>
  <c r="B290" i="26"/>
  <c r="D290" i="26"/>
  <c r="H40" i="24"/>
  <c r="B5" i="24" s="1"/>
  <c r="H7" i="22"/>
  <c r="M72" i="24"/>
  <c r="M73" i="24"/>
  <c r="M69" i="24"/>
  <c r="M74" i="24"/>
  <c r="M70" i="24"/>
  <c r="M71" i="24"/>
  <c r="M23" i="24"/>
  <c r="M25" i="24"/>
  <c r="M27" i="24"/>
  <c r="M24" i="24"/>
  <c r="M26" i="24"/>
  <c r="H94" i="22"/>
  <c r="I94" i="22" s="1"/>
  <c r="F38" i="2"/>
  <c r="H35" i="2"/>
  <c r="H28" i="2"/>
  <c r="C38" i="2"/>
  <c r="E47" i="28" l="1"/>
  <c r="M47" i="28" s="1"/>
  <c r="L47" i="28"/>
  <c r="L46" i="28"/>
  <c r="E7" i="28"/>
  <c r="M7" i="28" s="1"/>
  <c r="L7" i="28"/>
  <c r="D48" i="28"/>
  <c r="L48" i="28" s="1"/>
  <c r="F48" i="28"/>
  <c r="F49" i="28" s="1"/>
  <c r="G49" i="28" s="1"/>
  <c r="AL10" i="3"/>
  <c r="AA20" i="3"/>
  <c r="X206" i="38"/>
  <c r="AE171" i="38"/>
  <c r="X223" i="38"/>
  <c r="AF216" i="38"/>
  <c r="H5" i="22"/>
  <c r="H47" i="28"/>
  <c r="D27" i="28"/>
  <c r="E27" i="28" s="1"/>
  <c r="M27" i="28" s="1"/>
  <c r="E8" i="28"/>
  <c r="M8" i="28" s="1"/>
  <c r="G8" i="28"/>
  <c r="H8" i="28" s="1"/>
  <c r="F9" i="28"/>
  <c r="D9" i="28"/>
  <c r="L9" i="28" s="1"/>
  <c r="I7" i="22"/>
  <c r="H60" i="22"/>
  <c r="I60" i="22" s="1"/>
  <c r="H27" i="22"/>
  <c r="AF10" i="17"/>
  <c r="H38" i="2"/>
  <c r="E48" i="28" l="1"/>
  <c r="M48" i="28" s="1"/>
  <c r="G48" i="28"/>
  <c r="H48" i="28" s="1"/>
  <c r="H49" i="28" s="1"/>
  <c r="F50" i="28"/>
  <c r="G50" i="28" s="1"/>
  <c r="D49" i="28"/>
  <c r="L49" i="28" s="1"/>
  <c r="AE173" i="38"/>
  <c r="AF173" i="38"/>
  <c r="I206" i="38"/>
  <c r="I215" i="38"/>
  <c r="P217" i="38" s="1"/>
  <c r="L27" i="28"/>
  <c r="D28" i="28"/>
  <c r="L28" i="28" s="1"/>
  <c r="E9" i="28"/>
  <c r="M9" i="28" s="1"/>
  <c r="AL9" i="3"/>
  <c r="Z20" i="3"/>
  <c r="F10" i="28"/>
  <c r="G9" i="28"/>
  <c r="H9" i="28" s="1"/>
  <c r="D10" i="28"/>
  <c r="L10" i="28" s="1"/>
  <c r="H290" i="26"/>
  <c r="J279" i="26"/>
  <c r="J290" i="26"/>
  <c r="P10" i="17"/>
  <c r="F54" i="2"/>
  <c r="H54" i="2" s="1"/>
  <c r="H57" i="22"/>
  <c r="H59" i="22" s="1"/>
  <c r="I5" i="22"/>
  <c r="G8" i="22" s="1"/>
  <c r="G62" i="22" s="1"/>
  <c r="H27" i="28"/>
  <c r="H91" i="22"/>
  <c r="I27" i="22"/>
  <c r="D50" i="28"/>
  <c r="L50" i="28" s="1"/>
  <c r="E49" i="28" l="1"/>
  <c r="M49" i="28" s="1"/>
  <c r="P173" i="38"/>
  <c r="O173" i="38"/>
  <c r="I223" i="38"/>
  <c r="E10" i="28"/>
  <c r="M10" i="28" s="1"/>
  <c r="D11" i="28"/>
  <c r="L11" i="28" s="1"/>
  <c r="F11" i="28"/>
  <c r="G10" i="28"/>
  <c r="H10" i="28" s="1"/>
  <c r="G53" i="22"/>
  <c r="G54" i="22" s="1"/>
  <c r="H8" i="22"/>
  <c r="H62" i="22" s="1"/>
  <c r="I62" i="22" s="1"/>
  <c r="G63" i="22"/>
  <c r="G71" i="22" s="1"/>
  <c r="I57" i="22"/>
  <c r="H61" i="22"/>
  <c r="P11" i="17" s="1"/>
  <c r="G44" i="22"/>
  <c r="G45" i="22" s="1"/>
  <c r="P6" i="17"/>
  <c r="E28" i="28"/>
  <c r="M28" i="28" s="1"/>
  <c r="E50" i="28"/>
  <c r="M50" i="28" s="1"/>
  <c r="H95" i="22"/>
  <c r="I91" i="22"/>
  <c r="H93" i="22"/>
  <c r="AF6" i="17"/>
  <c r="G30" i="22"/>
  <c r="H30" i="22"/>
  <c r="D51" i="28"/>
  <c r="F51" i="28"/>
  <c r="D52" i="28" s="1"/>
  <c r="L52" i="28" s="1"/>
  <c r="H50" i="28"/>
  <c r="I59" i="22"/>
  <c r="P9" i="17"/>
  <c r="E11" i="28" l="1"/>
  <c r="M11" i="28" s="1"/>
  <c r="F12" i="28"/>
  <c r="G11" i="28"/>
  <c r="H11" i="28" s="1"/>
  <c r="D12" i="28"/>
  <c r="L12" i="28" s="1"/>
  <c r="H63" i="22"/>
  <c r="P12" i="17" s="1"/>
  <c r="H44" i="22"/>
  <c r="H45" i="22" s="1"/>
  <c r="H66" i="22" s="1"/>
  <c r="J19" i="17" s="1"/>
  <c r="H53" i="22"/>
  <c r="H54" i="22" s="1"/>
  <c r="H64" i="22" s="1"/>
  <c r="P14" i="17" s="1"/>
  <c r="I8" i="22"/>
  <c r="I61" i="22"/>
  <c r="H12" i="17"/>
  <c r="E51" i="28"/>
  <c r="M51" i="28" s="1"/>
  <c r="L51" i="28"/>
  <c r="D29" i="28"/>
  <c r="L29" i="28" s="1"/>
  <c r="G28" i="28"/>
  <c r="H28" i="28" s="1"/>
  <c r="G96" i="22"/>
  <c r="G81" i="22"/>
  <c r="G87" i="22"/>
  <c r="I30" i="22"/>
  <c r="AF9" i="17"/>
  <c r="I93" i="22"/>
  <c r="I95" i="22"/>
  <c r="AF11" i="17"/>
  <c r="H87" i="22"/>
  <c r="H88" i="22" s="1"/>
  <c r="H98" i="22" s="1"/>
  <c r="AF14" i="17" s="1"/>
  <c r="H96" i="22"/>
  <c r="H97" i="22" s="1"/>
  <c r="H81" i="22"/>
  <c r="H82" i="22" s="1"/>
  <c r="G65" i="22"/>
  <c r="G66" i="22"/>
  <c r="G64" i="22"/>
  <c r="H23" i="17"/>
  <c r="F52" i="28"/>
  <c r="G51" i="28"/>
  <c r="H51" i="28" s="1"/>
  <c r="E12" i="28" l="1"/>
  <c r="M12" i="28" s="1"/>
  <c r="G12" i="28"/>
  <c r="H12" i="28" s="1"/>
  <c r="D13" i="28"/>
  <c r="L13" i="28" s="1"/>
  <c r="F13" i="28"/>
  <c r="I54" i="22"/>
  <c r="H65" i="22"/>
  <c r="P19" i="17" s="1"/>
  <c r="I63" i="22"/>
  <c r="H71" i="22"/>
  <c r="P23" i="17" s="1"/>
  <c r="I45" i="22"/>
  <c r="I44" i="22"/>
  <c r="J44" i="22" s="1"/>
  <c r="I53" i="22"/>
  <c r="J53" i="22" s="1"/>
  <c r="E29" i="28"/>
  <c r="M29" i="28" s="1"/>
  <c r="H100" i="22"/>
  <c r="Z19" i="17" s="1"/>
  <c r="H99" i="22"/>
  <c r="I87" i="22"/>
  <c r="G88" i="22"/>
  <c r="G97" i="22"/>
  <c r="I96" i="22"/>
  <c r="AF12" i="17"/>
  <c r="H105" i="22"/>
  <c r="AF23" i="17" s="1"/>
  <c r="I81" i="22"/>
  <c r="G82" i="22"/>
  <c r="H19" i="17"/>
  <c r="D53" i="28"/>
  <c r="F53" i="28"/>
  <c r="G52" i="28"/>
  <c r="H14" i="17"/>
  <c r="G69" i="22"/>
  <c r="I64" i="22"/>
  <c r="B19" i="17"/>
  <c r="I66" i="22"/>
  <c r="E13" i="28" l="1"/>
  <c r="M13" i="28" s="1"/>
  <c r="D14" i="28"/>
  <c r="L14" i="28" s="1"/>
  <c r="G13" i="28"/>
  <c r="H13" i="28" s="1"/>
  <c r="F14" i="28"/>
  <c r="I71" i="22"/>
  <c r="H69" i="22"/>
  <c r="H70" i="22" s="1"/>
  <c r="P21" i="17" s="1"/>
  <c r="I65" i="22"/>
  <c r="E53" i="28"/>
  <c r="G29" i="28"/>
  <c r="H29" i="28" s="1"/>
  <c r="D30" i="28"/>
  <c r="L30" i="28" s="1"/>
  <c r="X12" i="17"/>
  <c r="G105" i="22"/>
  <c r="I97" i="22"/>
  <c r="G100" i="22"/>
  <c r="G99" i="22"/>
  <c r="I82" i="22"/>
  <c r="I88" i="22"/>
  <c r="G98" i="22"/>
  <c r="AF19" i="17"/>
  <c r="H103" i="22"/>
  <c r="D54" i="28"/>
  <c r="F54" i="28"/>
  <c r="G53" i="28"/>
  <c r="H53" i="28" s="1"/>
  <c r="H20" i="17"/>
  <c r="G70" i="22"/>
  <c r="G72" i="22"/>
  <c r="G14" i="28" l="1"/>
  <c r="H14" i="28" s="1"/>
  <c r="D15" i="28"/>
  <c r="L15" i="28" s="1"/>
  <c r="F15" i="28"/>
  <c r="E14" i="28"/>
  <c r="M14" i="28" s="1"/>
  <c r="I69" i="22"/>
  <c r="H72" i="22"/>
  <c r="P20" i="17"/>
  <c r="E54" i="28"/>
  <c r="M54" i="28" s="1"/>
  <c r="L54" i="28"/>
  <c r="E30" i="28"/>
  <c r="M30" i="28" s="1"/>
  <c r="X19" i="17"/>
  <c r="I99" i="22"/>
  <c r="AF20" i="17"/>
  <c r="H106" i="22"/>
  <c r="H104" i="22"/>
  <c r="AF21" i="17" s="1"/>
  <c r="I98" i="22"/>
  <c r="X14" i="17"/>
  <c r="G103" i="22"/>
  <c r="R19" i="17"/>
  <c r="I100" i="22"/>
  <c r="I105" i="22"/>
  <c r="X23" i="17"/>
  <c r="H21" i="17"/>
  <c r="I70" i="22"/>
  <c r="H24" i="17"/>
  <c r="G73" i="22"/>
  <c r="F55" i="28"/>
  <c r="G55" i="28" s="1"/>
  <c r="G54" i="28"/>
  <c r="H54" i="28" s="1"/>
  <c r="E15" i="28" l="1"/>
  <c r="M15" i="28" s="1"/>
  <c r="D16" i="28"/>
  <c r="L16" i="28" s="1"/>
  <c r="F16" i="28"/>
  <c r="D17" i="28" s="1"/>
  <c r="L17" i="28" s="1"/>
  <c r="G15" i="28"/>
  <c r="H15" i="28" s="1"/>
  <c r="P24" i="17"/>
  <c r="H73" i="22"/>
  <c r="I72" i="22"/>
  <c r="E55" i="28"/>
  <c r="L56" i="28"/>
  <c r="M67" i="24" s="1"/>
  <c r="G30" i="28"/>
  <c r="H30" i="28" s="1"/>
  <c r="D31" i="28"/>
  <c r="X20" i="17"/>
  <c r="G106" i="22"/>
  <c r="G104" i="22"/>
  <c r="I103" i="22"/>
  <c r="H107" i="22"/>
  <c r="AF24" i="17"/>
  <c r="H55" i="28"/>
  <c r="H25" i="17"/>
  <c r="G74" i="22"/>
  <c r="M55" i="28" l="1"/>
  <c r="M56" i="28" s="1"/>
  <c r="M68" i="24" s="1"/>
  <c r="M75" i="24" s="1"/>
  <c r="M80" i="24" s="1"/>
  <c r="L18" i="28"/>
  <c r="M20" i="24" s="1"/>
  <c r="F17" i="28"/>
  <c r="G17" i="28" s="1"/>
  <c r="G16" i="28"/>
  <c r="H16" i="28" s="1"/>
  <c r="E17" i="28"/>
  <c r="E16" i="28"/>
  <c r="M16" i="28" s="1"/>
  <c r="P25" i="17"/>
  <c r="H74" i="22"/>
  <c r="I74" i="22" s="1"/>
  <c r="I73" i="22"/>
  <c r="E31" i="28"/>
  <c r="M31" i="28" s="1"/>
  <c r="AF25" i="17"/>
  <c r="H108" i="22"/>
  <c r="X21" i="17"/>
  <c r="I104" i="22"/>
  <c r="I106" i="22"/>
  <c r="X24" i="17"/>
  <c r="G107" i="22"/>
  <c r="H27" i="17"/>
  <c r="G75" i="22"/>
  <c r="M17" i="28" l="1"/>
  <c r="M18" i="28" s="1"/>
  <c r="M21" i="24" s="1"/>
  <c r="M28" i="24" s="1"/>
  <c r="M38" i="24" s="1"/>
  <c r="E18" i="28"/>
  <c r="N174" i="38" s="1"/>
  <c r="H17" i="28"/>
  <c r="H75" i="22"/>
  <c r="P27" i="17"/>
  <c r="G31" i="28"/>
  <c r="H31" i="28" s="1"/>
  <c r="D32" i="28"/>
  <c r="L32" i="28" s="1"/>
  <c r="X25" i="17"/>
  <c r="I107" i="22"/>
  <c r="AF27" i="17"/>
  <c r="H109" i="22"/>
  <c r="G108" i="22"/>
  <c r="H28" i="17"/>
  <c r="C30" i="17" s="1"/>
  <c r="N5" i="2"/>
  <c r="P28" i="17" l="1"/>
  <c r="K30" i="17" s="1"/>
  <c r="C5" i="2"/>
  <c r="I75" i="22"/>
  <c r="E32" i="28"/>
  <c r="M32" i="28" s="1"/>
  <c r="AF28" i="17"/>
  <c r="AA30" i="17" s="1"/>
  <c r="G109" i="22"/>
  <c r="X27" i="17"/>
  <c r="I108" i="22"/>
  <c r="N6" i="2"/>
  <c r="U20" i="2" s="1"/>
  <c r="N7" i="2"/>
  <c r="U23" i="2" s="1"/>
  <c r="N8" i="2"/>
  <c r="U28" i="2" s="1"/>
  <c r="N9" i="2"/>
  <c r="U36" i="2" s="1"/>
  <c r="C7" i="2" l="1"/>
  <c r="J23" i="2" s="1"/>
  <c r="C6" i="2"/>
  <c r="J20" i="2" s="1"/>
  <c r="C8" i="2"/>
  <c r="J28" i="2" s="1"/>
  <c r="C9" i="2"/>
  <c r="J36" i="2" s="1"/>
  <c r="D33" i="28"/>
  <c r="L33" i="28" s="1"/>
  <c r="G32" i="28"/>
  <c r="H32" i="28" s="1"/>
  <c r="X28" i="17"/>
  <c r="S30" i="17" s="1"/>
  <c r="I109" i="22"/>
  <c r="U39" i="2"/>
  <c r="J39" i="2" l="1"/>
  <c r="E33" i="28"/>
  <c r="M33" i="28" s="1"/>
  <c r="G33" i="28"/>
  <c r="H33" i="28" s="1"/>
  <c r="D34" i="28" l="1"/>
  <c r="L34" i="28" s="1"/>
  <c r="E34" i="28" l="1"/>
  <c r="M34" i="28" s="1"/>
  <c r="D35" i="28"/>
  <c r="L35" i="28" s="1"/>
  <c r="G34" i="28" l="1"/>
  <c r="H34" i="28" s="1"/>
  <c r="E35" i="28"/>
  <c r="M35" i="28" s="1"/>
  <c r="D36" i="28"/>
  <c r="L36" i="28" s="1"/>
  <c r="G35" i="28" l="1"/>
  <c r="H35" i="28" s="1"/>
  <c r="E36" i="28"/>
  <c r="E37" i="28" s="1"/>
  <c r="AD174" i="38" s="1"/>
  <c r="L37" i="28"/>
  <c r="G36" i="28"/>
  <c r="M45" i="24" l="1"/>
  <c r="M36" i="28"/>
  <c r="M37" i="28" s="1"/>
  <c r="H36" i="28"/>
  <c r="M46" i="24" l="1"/>
  <c r="M53" i="24" s="1"/>
  <c r="M62" i="24" s="1"/>
  <c r="G92" i="24"/>
  <c r="G13" i="24" l="1"/>
</calcChain>
</file>

<file path=xl/sharedStrings.xml><?xml version="1.0" encoding="utf-8"?>
<sst xmlns="http://schemas.openxmlformats.org/spreadsheetml/2006/main" count="4711" uniqueCount="1280">
  <si>
    <t>CUE:</t>
  </si>
  <si>
    <t>LSCSD:</t>
  </si>
  <si>
    <t>CMWD Purch:</t>
  </si>
  <si>
    <t>Local Prod:</t>
  </si>
  <si>
    <t xml:space="preserve"> </t>
  </si>
  <si>
    <t>GSP Total:</t>
  </si>
  <si>
    <t>AF</t>
  </si>
  <si>
    <t>District 1</t>
  </si>
  <si>
    <t>Production</t>
  </si>
  <si>
    <t xml:space="preserve"> District 1</t>
  </si>
  <si>
    <t>Difference</t>
  </si>
  <si>
    <t>Read</t>
  </si>
  <si>
    <t>Total</t>
  </si>
  <si>
    <t>College Pk.</t>
  </si>
  <si>
    <t>Well 15</t>
  </si>
  <si>
    <t>Well 95</t>
  </si>
  <si>
    <t>Well 96</t>
  </si>
  <si>
    <t>Well 97</t>
  </si>
  <si>
    <t>Well 98</t>
  </si>
  <si>
    <t>District 19</t>
  </si>
  <si>
    <t xml:space="preserve"> District 19</t>
  </si>
  <si>
    <t xml:space="preserve"> Don. Sm.</t>
  </si>
  <si>
    <t>Well 2</t>
  </si>
  <si>
    <t xml:space="preserve"> Don. Lg.</t>
  </si>
  <si>
    <t>Well 3</t>
  </si>
  <si>
    <t xml:space="preserve"> Sand Cyn</t>
  </si>
  <si>
    <t xml:space="preserve"> Price</t>
  </si>
  <si>
    <t xml:space="preserve"> Water</t>
  </si>
  <si>
    <t xml:space="preserve"> O&amp;M Chg</t>
  </si>
  <si>
    <t>*CMWD (SCE) BILL</t>
  </si>
  <si>
    <t>TOTAL</t>
  </si>
  <si>
    <t xml:space="preserve">Ventura County Waterworks - District No.1 </t>
  </si>
  <si>
    <t>Production Summary Report for</t>
  </si>
  <si>
    <t>DISTRICT 1</t>
  </si>
  <si>
    <t xml:space="preserve">              Local</t>
  </si>
  <si>
    <t>Purchases</t>
  </si>
  <si>
    <t>Total Prod.</t>
  </si>
  <si>
    <t>AG Credit</t>
  </si>
  <si>
    <t>Pumped</t>
  </si>
  <si>
    <t>In-Lieu</t>
  </si>
  <si>
    <t>GSP</t>
  </si>
  <si>
    <t>Division 1</t>
  </si>
  <si>
    <t>Division 2</t>
  </si>
  <si>
    <t>Division 3</t>
  </si>
  <si>
    <t>Division 4</t>
  </si>
  <si>
    <t xml:space="preserve">      Div. 4 Total</t>
  </si>
  <si>
    <t>Ventura County Waterworks - District No.19</t>
  </si>
  <si>
    <t>WATER PRODUCTION REPORT (AF)</t>
  </si>
  <si>
    <t>WATER PRODUCTION REPORT  (AF)</t>
  </si>
  <si>
    <t>VCWWD #1</t>
  </si>
  <si>
    <t>VCWWD #17</t>
  </si>
  <si>
    <t>IMPORTED</t>
  </si>
  <si>
    <t xml:space="preserve">Pumped </t>
  </si>
  <si>
    <t>GCC</t>
  </si>
  <si>
    <t>JAN</t>
  </si>
  <si>
    <t>FEB</t>
  </si>
  <si>
    <t>NOV</t>
  </si>
  <si>
    <t>JUNE</t>
  </si>
  <si>
    <t>MAR</t>
  </si>
  <si>
    <t>DEC</t>
  </si>
  <si>
    <t>JULY</t>
  </si>
  <si>
    <t>APR</t>
  </si>
  <si>
    <t>AUG</t>
  </si>
  <si>
    <t>MAY</t>
  </si>
  <si>
    <t>SEPT</t>
  </si>
  <si>
    <t>JUN</t>
  </si>
  <si>
    <t>OCT</t>
  </si>
  <si>
    <t>JUL</t>
  </si>
  <si>
    <t>VCWWD #16</t>
  </si>
  <si>
    <r>
      <t>*</t>
    </r>
    <r>
      <rPr>
        <sz val="8"/>
        <rFont val="Arial"/>
        <family val="2"/>
      </rPr>
      <t>(170.8-170.8)</t>
    </r>
  </si>
  <si>
    <r>
      <t>*</t>
    </r>
    <r>
      <rPr>
        <sz val="8"/>
        <rFont val="Arial"/>
        <family val="2"/>
      </rPr>
      <t>(85.6-85.6)</t>
    </r>
  </si>
  <si>
    <r>
      <t>*</t>
    </r>
    <r>
      <rPr>
        <sz val="8"/>
        <rFont val="Arial"/>
        <family val="2"/>
      </rPr>
      <t>(107.6-107.6)</t>
    </r>
  </si>
  <si>
    <r>
      <t>*</t>
    </r>
    <r>
      <rPr>
        <sz val="8"/>
        <rFont val="Arial"/>
        <family val="2"/>
      </rPr>
      <t>(120.7-120.7)</t>
    </r>
  </si>
  <si>
    <t>Month</t>
  </si>
  <si>
    <r>
      <t>*</t>
    </r>
    <r>
      <rPr>
        <sz val="8"/>
        <rFont val="Arial"/>
        <family val="2"/>
      </rPr>
      <t>(271.1-271.1)</t>
    </r>
  </si>
  <si>
    <r>
      <t>*</t>
    </r>
    <r>
      <rPr>
        <sz val="8"/>
        <rFont val="Arial"/>
        <family val="2"/>
      </rPr>
      <t>(264.2-264.2)</t>
    </r>
  </si>
  <si>
    <r>
      <t>*</t>
    </r>
    <r>
      <rPr>
        <sz val="8"/>
        <rFont val="Arial"/>
        <family val="2"/>
      </rPr>
      <t>(286.8-286.8)</t>
    </r>
  </si>
  <si>
    <r>
      <t>*</t>
    </r>
    <r>
      <rPr>
        <sz val="8"/>
        <rFont val="Arial"/>
        <family val="2"/>
      </rPr>
      <t>(301.9-301.9)</t>
    </r>
  </si>
  <si>
    <r>
      <t>*</t>
    </r>
    <r>
      <rPr>
        <sz val="8"/>
        <rFont val="Arial"/>
        <family val="2"/>
      </rPr>
      <t>(257.4-257.4)</t>
    </r>
  </si>
  <si>
    <t>SEP</t>
  </si>
  <si>
    <t>DIST. 1</t>
  </si>
  <si>
    <t>1990-AG</t>
  </si>
  <si>
    <t>1990-CR</t>
  </si>
  <si>
    <t>1991-AG</t>
  </si>
  <si>
    <t>1991-CR</t>
  </si>
  <si>
    <t>1993 AG</t>
  </si>
  <si>
    <t>1993 CR</t>
  </si>
  <si>
    <t>1994 AG</t>
  </si>
  <si>
    <t>1994 CR</t>
  </si>
  <si>
    <t>1995 AG</t>
  </si>
  <si>
    <t>1995 CR</t>
  </si>
  <si>
    <t>1996 AG</t>
  </si>
  <si>
    <t>1996 CR</t>
  </si>
  <si>
    <t>1997 AG</t>
  </si>
  <si>
    <t>1997 CR</t>
  </si>
  <si>
    <t>1998 AG</t>
  </si>
  <si>
    <t>1998 CR</t>
  </si>
  <si>
    <t>1999 AG</t>
  </si>
  <si>
    <t>1999 CR</t>
  </si>
  <si>
    <t>AG</t>
  </si>
  <si>
    <t>AG Cr.</t>
  </si>
  <si>
    <t>DISTRICT 19</t>
  </si>
  <si>
    <t>DIST.19</t>
  </si>
  <si>
    <t>DISTRICT 17</t>
  </si>
  <si>
    <t>1992-1994</t>
  </si>
  <si>
    <t>CMWD SCE CHARGES</t>
  </si>
  <si>
    <t>$ / AF</t>
  </si>
  <si>
    <t>Charge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</si>
  <si>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</si>
  <si>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</si>
  <si>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</si>
  <si>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</si>
  <si>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</si>
  <si>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</si>
  <si>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</si>
  <si>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</si>
  <si>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</si>
  <si>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</si>
  <si>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</si>
  <si>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</si>
  <si>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 Date</t>
  </si>
  <si>
    <t>Well #</t>
  </si>
  <si>
    <t>Current  Rd.</t>
  </si>
  <si>
    <t>Beginning Rd.</t>
  </si>
  <si>
    <t>Remarks/Change Out</t>
  </si>
  <si>
    <t>1995-1999</t>
  </si>
  <si>
    <t>9/13 - 10/13</t>
  </si>
  <si>
    <t>9/10 - 10/12</t>
  </si>
  <si>
    <t xml:space="preserve">     Div. 3 Total</t>
  </si>
  <si>
    <t xml:space="preserve">     Div. 1 Total</t>
  </si>
  <si>
    <t>Flow</t>
  </si>
  <si>
    <t>DISTRICT 1:</t>
  </si>
  <si>
    <t>DISTRICT 19:</t>
  </si>
  <si>
    <t>WELL 5:</t>
  </si>
  <si>
    <t>WELL 2:</t>
  </si>
  <si>
    <t>WELL 1:</t>
  </si>
  <si>
    <t>1991 Base Yr</t>
  </si>
  <si>
    <t>(95% 0f base yr.)</t>
  </si>
  <si>
    <t>(90% of base yr.)</t>
  </si>
  <si>
    <t>(85% of base yr.)</t>
  </si>
  <si>
    <t>WELL 10:</t>
  </si>
  <si>
    <t>WELL 3:</t>
  </si>
  <si>
    <t>WELL 95:</t>
  </si>
  <si>
    <t>WELL 12:</t>
  </si>
  <si>
    <t>WELL 96:</t>
  </si>
  <si>
    <t>WELL97:</t>
  </si>
  <si>
    <t>WELL 98:</t>
  </si>
  <si>
    <t>12/13 - 1/13</t>
  </si>
  <si>
    <t>11/12 - 12/13</t>
  </si>
  <si>
    <t>11/10 - 12/13</t>
  </si>
  <si>
    <t>12/13 - 1/11</t>
  </si>
  <si>
    <t>1/12 - 2/11</t>
  </si>
  <si>
    <t>2/11 - 3/15</t>
  </si>
  <si>
    <t>3/15 - 4/12</t>
  </si>
  <si>
    <t>4/12 - 5/12</t>
  </si>
  <si>
    <t>12/14 - 1/14</t>
  </si>
  <si>
    <t>1/14 - 2/12</t>
  </si>
  <si>
    <t>2/12 - 3/16</t>
  </si>
  <si>
    <t>3/16 - 4/14</t>
  </si>
  <si>
    <t>4/14 - 5/25</t>
  </si>
  <si>
    <t>5/25 - 6/14</t>
  </si>
  <si>
    <t>6/14 - 7/14</t>
  </si>
  <si>
    <t>-B/S</t>
  </si>
  <si>
    <t>+B/S</t>
  </si>
  <si>
    <t>5/12 - 6/11</t>
  </si>
  <si>
    <t>6/11 - 7/13</t>
  </si>
  <si>
    <t xml:space="preserve">7/13 - 8/11 </t>
  </si>
  <si>
    <t>3-000-2042-86</t>
  </si>
  <si>
    <t>3-000-5300-03</t>
  </si>
  <si>
    <t>3-001-1588-93</t>
  </si>
  <si>
    <t>10/13 - 11/12</t>
  </si>
  <si>
    <t xml:space="preserve">7/14 -          </t>
  </si>
  <si>
    <t>8/11 - 9/10</t>
  </si>
  <si>
    <t>10/12 - 11/10</t>
  </si>
  <si>
    <t>1/13 - 2/11</t>
  </si>
  <si>
    <t>1/11 - 2/10</t>
  </si>
  <si>
    <r>
      <t>*</t>
    </r>
    <r>
      <rPr>
        <sz val="8"/>
        <rFont val="Arial"/>
        <family val="2"/>
      </rPr>
      <t>(285.3-133.9)</t>
    </r>
  </si>
  <si>
    <t>2/11 - 3/14</t>
  </si>
  <si>
    <t>2/10 - 3/13</t>
  </si>
  <si>
    <t>*(173.8-153.9)</t>
  </si>
  <si>
    <t>Meter Rd. * 100</t>
  </si>
  <si>
    <t xml:space="preserve"> Pumping Cost Share</t>
  </si>
  <si>
    <t>3/14 - 4/12</t>
  </si>
  <si>
    <t>3/13 - 4/10</t>
  </si>
  <si>
    <t>*(251.8-226.3)</t>
  </si>
  <si>
    <t>*(797.9-130.6)</t>
  </si>
  <si>
    <t>*(1316.0-272.2)</t>
  </si>
  <si>
    <t>4/12 - 5/11</t>
  </si>
  <si>
    <t>4/10 - 5/10</t>
  </si>
  <si>
    <t>Pump Chk:</t>
  </si>
  <si>
    <t>Smith Road Lg</t>
  </si>
  <si>
    <t>5/11 - 6/12</t>
  </si>
  <si>
    <t>5/10 - 6/8</t>
  </si>
  <si>
    <t>*(274.1-237.2)</t>
  </si>
  <si>
    <t>6/12 - 7/11</t>
  </si>
  <si>
    <t>6/8 - 7/10</t>
  </si>
  <si>
    <t>*(1396.0-279.0)</t>
  </si>
  <si>
    <t>7/11 - 8/9</t>
  </si>
  <si>
    <t>7/10 - 8/8</t>
  </si>
  <si>
    <t xml:space="preserve">     Div. 2 Total</t>
  </si>
  <si>
    <t>*(1222.3-243.6)</t>
  </si>
  <si>
    <t>8/8 - 9/7</t>
  </si>
  <si>
    <t>8/09- 9/11</t>
  </si>
  <si>
    <t>*(954.3-215.8)</t>
  </si>
  <si>
    <t>*(295.8-254.7)</t>
  </si>
  <si>
    <t>*(292.8-257.7)</t>
  </si>
  <si>
    <t>*(174.3-147.6)</t>
  </si>
  <si>
    <t>9/11-10/10</t>
  </si>
  <si>
    <t>9/7 - 10/6</t>
  </si>
  <si>
    <t>*(826.2-164.1)</t>
  </si>
  <si>
    <t>*(144.8-144.8)</t>
  </si>
  <si>
    <t>*(48.2-48.2)</t>
  </si>
  <si>
    <t>*(87.5-87.5)</t>
  </si>
  <si>
    <t>*(1113.9-240.4)</t>
  </si>
  <si>
    <t>*(1384.1-289.0)</t>
  </si>
  <si>
    <t>*(226.4-274.5)</t>
  </si>
  <si>
    <t>*(247.9-222.7)</t>
  </si>
  <si>
    <t>10/27 - 11/29</t>
  </si>
  <si>
    <t>7/31 - 8/28</t>
  </si>
  <si>
    <t>6/29 - 7/31</t>
  </si>
  <si>
    <t>LSCSD ZONE II Booster Pump Station</t>
  </si>
  <si>
    <t>10/10-11/09</t>
  </si>
  <si>
    <t>10/6 - 11/8</t>
  </si>
  <si>
    <t>8/28 - 9/03</t>
  </si>
  <si>
    <t>4/28 - 5/30</t>
  </si>
  <si>
    <t>3/01 - 3/30</t>
  </si>
  <si>
    <t>1/03 - 1/29</t>
  </si>
  <si>
    <t>1/29 - 3/01</t>
  </si>
  <si>
    <t>3/30 - 4/26</t>
  </si>
  <si>
    <t>5/30 - 6/29</t>
  </si>
  <si>
    <t>9/03 - 10/27</t>
  </si>
  <si>
    <t>11/29 - 12/28</t>
  </si>
  <si>
    <t>11/8 - 12/11</t>
  </si>
  <si>
    <t>11/09-12/11</t>
  </si>
  <si>
    <t>*(852.0-36.2)</t>
  </si>
  <si>
    <t>*(228.0-224.2)</t>
  </si>
  <si>
    <t>2001 AG</t>
  </si>
  <si>
    <t>2001 CR</t>
  </si>
  <si>
    <t>12/11-1/10</t>
  </si>
  <si>
    <t>*(79.7-79.7)</t>
  </si>
  <si>
    <t>*(57.8-57.8)</t>
  </si>
  <si>
    <t>01/10-02/08</t>
  </si>
  <si>
    <t>01/10-02/07</t>
  </si>
  <si>
    <t>*(69.2-69.2)</t>
  </si>
  <si>
    <t>12/12 - 1/14</t>
  </si>
  <si>
    <t>1/14 - 2/11</t>
  </si>
  <si>
    <t xml:space="preserve">2/11 -           </t>
  </si>
  <si>
    <t xml:space="preserve">         - 9/13</t>
  </si>
  <si>
    <t xml:space="preserve">       - /14</t>
  </si>
  <si>
    <t>4/14 - 5/13</t>
  </si>
  <si>
    <t>5/13 - 6/13</t>
  </si>
  <si>
    <t>6/13 - 7/13</t>
  </si>
  <si>
    <t>7/13 - 8/13</t>
  </si>
  <si>
    <t>8/12 - 9/11</t>
  </si>
  <si>
    <t>11/12 - 12/14</t>
  </si>
  <si>
    <t>9/11 - 10/11</t>
  </si>
  <si>
    <t>10/11 - 11/12</t>
  </si>
  <si>
    <t>2/11 - 3/12</t>
  </si>
  <si>
    <t xml:space="preserve">4/13 - 5/12 </t>
  </si>
  <si>
    <t>3/12 - 4/13</t>
  </si>
  <si>
    <t xml:space="preserve">         - 7/13</t>
  </si>
  <si>
    <t xml:space="preserve">5/12 -           </t>
  </si>
  <si>
    <t>7/13 - 8/10</t>
  </si>
  <si>
    <t>8/10 - 9/9</t>
  </si>
  <si>
    <t>9/9 - 10/9</t>
  </si>
  <si>
    <t>10/9 - 11/9</t>
  </si>
  <si>
    <t>11/9 - 12/11</t>
  </si>
  <si>
    <t>12/11 - 1/12</t>
  </si>
  <si>
    <t>*(643.6-140.2)</t>
  </si>
  <si>
    <t>02/08-03/13</t>
  </si>
  <si>
    <t>02/07-03/12</t>
  </si>
  <si>
    <t>*(125.6-125.0)</t>
  </si>
  <si>
    <t>03/13-04/11</t>
  </si>
  <si>
    <t>03/14-04/11</t>
  </si>
  <si>
    <t>01/29-02/28</t>
  </si>
  <si>
    <t>03/01-03/31</t>
  </si>
  <si>
    <t>*(244.4-244.4)</t>
  </si>
  <si>
    <t>04/01-04/30</t>
  </si>
  <si>
    <t>04/11-05/10</t>
  </si>
  <si>
    <t>*(267.8-267.8)</t>
  </si>
  <si>
    <t>05/01-05/31</t>
  </si>
  <si>
    <t>06/01-06/31</t>
  </si>
  <si>
    <t>*(334.5-334.5)</t>
  </si>
  <si>
    <t>06/11-07/11</t>
  </si>
  <si>
    <t>*(399.2-399.2)</t>
  </si>
  <si>
    <t>07/01-07/31</t>
  </si>
  <si>
    <t>05/10-06/11</t>
  </si>
  <si>
    <t>07/11-08/09</t>
  </si>
  <si>
    <t>*(304.1-304.1)</t>
  </si>
  <si>
    <t>08/09-09/10</t>
  </si>
  <si>
    <t>08/09-09/08</t>
  </si>
  <si>
    <t>Dist 1 Book</t>
  </si>
  <si>
    <t>Billing Pd</t>
  </si>
  <si>
    <t>004</t>
  </si>
  <si>
    <t>014</t>
  </si>
  <si>
    <t>017</t>
  </si>
  <si>
    <t>018</t>
  </si>
  <si>
    <t>019</t>
  </si>
  <si>
    <t>(9)   Total Ag Use (7+8)</t>
  </si>
  <si>
    <t>(10) MWD Water Used for Ag (9*3/5)</t>
  </si>
  <si>
    <t>(12) Ag Gains/Losses (9*11/6)</t>
  </si>
  <si>
    <t>(13) MWD Gains/Losses (3*12/5)</t>
  </si>
  <si>
    <t>(4)   Local Production</t>
  </si>
  <si>
    <t>(14) Ag Credits (10 - 13)</t>
  </si>
  <si>
    <t>District 1 Ag Certification Worksheet</t>
  </si>
  <si>
    <t>Checksum</t>
  </si>
  <si>
    <t>(15) Qualifying Credits (lesser of 3,14)</t>
  </si>
  <si>
    <t>(11) Total Gains/Losses (6 - 5)</t>
  </si>
  <si>
    <t xml:space="preserve">   (5a) Month's % of Total Water Supplied</t>
  </si>
  <si>
    <t>District 19 Ag Certification Worksheet</t>
  </si>
  <si>
    <t>Read Dates</t>
  </si>
  <si>
    <t>Dist 1 Dom &amp; Ag water use for:</t>
  </si>
  <si>
    <t>08/01-08/31</t>
  </si>
  <si>
    <t>2002</t>
  </si>
  <si>
    <t>Dist 19 Dom &amp; Ag water use for:</t>
  </si>
  <si>
    <t>Total (AF)</t>
  </si>
  <si>
    <t>Usage (HCF)</t>
  </si>
  <si>
    <t>(1)   Full Service Purchased from MWD</t>
  </si>
  <si>
    <t>(3)   Total MWD Full Service Supply to System (1+2)</t>
  </si>
  <si>
    <t>(7)   Ag Use Only</t>
  </si>
  <si>
    <t>09/01-09/30</t>
  </si>
  <si>
    <t>CMWD</t>
  </si>
  <si>
    <t>VCWWD #19</t>
  </si>
  <si>
    <t>CA-2</t>
  </si>
  <si>
    <t>(8a)   Metered Quantity</t>
  </si>
  <si>
    <t>(8c)   Dwelling Factor</t>
  </si>
  <si>
    <t>(8b)   No. Single Unit Dwellings</t>
  </si>
  <si>
    <t>09/10-10/11</t>
  </si>
  <si>
    <t>09/08-10/10</t>
  </si>
  <si>
    <t>*(356.1-114.4)</t>
  </si>
  <si>
    <t>*(451.3-102.0)</t>
  </si>
  <si>
    <t>*(873.3-143.5)</t>
  </si>
  <si>
    <t>*(1004.0-204.3)</t>
  </si>
  <si>
    <t>*(1082.1-214.6)</t>
  </si>
  <si>
    <t>*(1155.9-290.7)</t>
  </si>
  <si>
    <t>*(1240.4-190.4)</t>
  </si>
  <si>
    <t>*(1239.4-235.7)</t>
  </si>
  <si>
    <t>*(1175.8-231.9)</t>
  </si>
  <si>
    <t>*(580.4-126.1)</t>
  </si>
  <si>
    <t>*(1169.1-304.7)</t>
  </si>
  <si>
    <t>*(912.8-197.5)</t>
  </si>
  <si>
    <t>(*521.9-102.3)</t>
  </si>
  <si>
    <t>10/01-10/31</t>
  </si>
  <si>
    <t>10/11-11/09</t>
  </si>
  <si>
    <t>10/10-11/08</t>
  </si>
  <si>
    <t>TOTAL DIST. 1 (AF)</t>
  </si>
  <si>
    <t>AgCr * .45</t>
  </si>
  <si>
    <t>AgCr * .2</t>
  </si>
  <si>
    <t>*(264.3-117.7)</t>
  </si>
  <si>
    <t>*(58.0 -125.6)</t>
  </si>
  <si>
    <t>*(41.2 - 0.00</t>
  </si>
  <si>
    <r>
      <t>*</t>
    </r>
    <r>
      <rPr>
        <sz val="8"/>
        <rFont val="Arial"/>
        <family val="2"/>
      </rPr>
      <t>(111.2-0.00)</t>
    </r>
  </si>
  <si>
    <r>
      <t>*</t>
    </r>
    <r>
      <rPr>
        <sz val="8"/>
        <rFont val="Arial"/>
        <family val="2"/>
      </rPr>
      <t>(118.6-0.00)</t>
    </r>
  </si>
  <si>
    <t>11/08-12/11</t>
  </si>
  <si>
    <t>B/S = Broadway-Stockton Turnout</t>
  </si>
  <si>
    <t>AgCr * .25</t>
  </si>
  <si>
    <t>AgCr*  .1</t>
  </si>
  <si>
    <t>2002 AG</t>
  </si>
  <si>
    <t>2002 CR</t>
  </si>
  <si>
    <t>12/11-01/13</t>
  </si>
  <si>
    <t>12/11-01/11</t>
  </si>
  <si>
    <t>10/31-12/01</t>
  </si>
  <si>
    <t>12/01-12/31</t>
  </si>
  <si>
    <t>*(86.1-86.1)</t>
  </si>
  <si>
    <t>*(168.1-168.1)</t>
  </si>
  <si>
    <t>12/21-01/30</t>
  </si>
  <si>
    <t>12/28-01/29</t>
  </si>
  <si>
    <t>01/13-02/12</t>
  </si>
  <si>
    <t>01/11-02/08</t>
  </si>
  <si>
    <t>01/30-03/01</t>
  </si>
  <si>
    <t>02/12-03/13</t>
  </si>
  <si>
    <t>*(265.5-265.5)</t>
  </si>
  <si>
    <t>*(271.9-271.9)</t>
  </si>
  <si>
    <t>03/14-04/12</t>
  </si>
  <si>
    <t>*(301.7-301.7)</t>
  </si>
  <si>
    <t>LSCSD</t>
  </si>
  <si>
    <t>04/01-04/29</t>
  </si>
  <si>
    <t>04/29-05/30</t>
  </si>
  <si>
    <t>04/12-05/10</t>
  </si>
  <si>
    <t>*(353.8-353.8)</t>
  </si>
  <si>
    <t>05/10-06/12</t>
  </si>
  <si>
    <t>Adjustment</t>
  </si>
  <si>
    <t>*(338.5-338.5)</t>
  </si>
  <si>
    <t>05/30-06/28</t>
  </si>
  <si>
    <t>06/12-07/12</t>
  </si>
  <si>
    <t>*(354.8-214.4)</t>
  </si>
  <si>
    <t>07/12-08/09</t>
  </si>
  <si>
    <t>07/11-08/08</t>
  </si>
  <si>
    <t>08/09-09/11</t>
  </si>
  <si>
    <t>08/08-09/10</t>
  </si>
  <si>
    <t>09/11-10/10</t>
  </si>
  <si>
    <t>09/10-10/08</t>
  </si>
  <si>
    <t>WATER PRODUCTION REPORT (HCF)</t>
  </si>
  <si>
    <t>10/10-11/11</t>
  </si>
  <si>
    <t>10/08-11/08</t>
  </si>
  <si>
    <t>2003</t>
  </si>
  <si>
    <t xml:space="preserve">  Credit calculated but we did not receive credit from CMWD.</t>
  </si>
  <si>
    <t xml:space="preserve">CMWD Ag program not in effect July 1992 through April 1994. </t>
  </si>
  <si>
    <t>Credit calculated but we did not receive credit from CMWD.</t>
  </si>
  <si>
    <t>CMWD Ag program not in effect July 1992 through June 1994.</t>
  </si>
  <si>
    <t>2003 AG</t>
  </si>
  <si>
    <t>2003 CR</t>
  </si>
  <si>
    <t>*(187.7-187.7)</t>
  </si>
  <si>
    <t>11/11-12/12</t>
  </si>
  <si>
    <t>11/01-11/30</t>
  </si>
  <si>
    <t>DETAIL</t>
  </si>
  <si>
    <t>12/12-01/14</t>
  </si>
  <si>
    <t>*(114.4-114.4)</t>
  </si>
  <si>
    <t>*(96.3-96.3)</t>
  </si>
  <si>
    <t>01/14-02/12</t>
  </si>
  <si>
    <t>01/13-02/10</t>
  </si>
  <si>
    <t>02/12-03/12</t>
  </si>
  <si>
    <t>02/10-03/13</t>
  </si>
  <si>
    <t>01/01-01/31</t>
  </si>
  <si>
    <t>02/01-02/28</t>
  </si>
  <si>
    <t>*(173.4-173.4)</t>
  </si>
  <si>
    <t>`</t>
  </si>
  <si>
    <t>03/13-04/10</t>
  </si>
  <si>
    <t>TIER I</t>
  </si>
  <si>
    <t>*(186.4-186.4)</t>
  </si>
  <si>
    <t>04/30-05/30</t>
  </si>
  <si>
    <t>04/11-05/12</t>
  </si>
  <si>
    <t>03/12-04/11</t>
  </si>
  <si>
    <t>04/10-05/12</t>
  </si>
  <si>
    <t>*(252.4-252.4)</t>
  </si>
  <si>
    <t>05/12-06/10</t>
  </si>
  <si>
    <t>05/12-06/11</t>
  </si>
  <si>
    <t>*(1505.0-255.9)</t>
  </si>
  <si>
    <t>06/10-07/12</t>
  </si>
  <si>
    <t>*(332.7-310.7)</t>
  </si>
  <si>
    <t>(2)   Minus Change in System Storage (GSP)</t>
  </si>
  <si>
    <t>In Lieu</t>
  </si>
  <si>
    <t>*(1583.7-316.7)</t>
  </si>
  <si>
    <t>*(337.9-311.8)</t>
  </si>
  <si>
    <t>05/30-06/30</t>
  </si>
  <si>
    <t>06/30-07/30</t>
  </si>
  <si>
    <t>07/12-08/08</t>
  </si>
  <si>
    <t>*(328.6-316.1)</t>
  </si>
  <si>
    <t>08/08-09/09</t>
  </si>
  <si>
    <t>08/08-09/08</t>
  </si>
  <si>
    <t>*(1217.1-232.8)</t>
  </si>
  <si>
    <t>*(299.1-282.1)</t>
  </si>
  <si>
    <t>*(1365.3-279.1)</t>
  </si>
  <si>
    <t>08/28-09/29</t>
  </si>
  <si>
    <t>07/30-08/28</t>
  </si>
  <si>
    <t>*(850.9-164.2)</t>
  </si>
  <si>
    <t>*(207.9-168.0)</t>
  </si>
  <si>
    <t>09/09-10/09</t>
  </si>
  <si>
    <t>09/08-10/07</t>
  </si>
  <si>
    <t>10/09-11/11</t>
  </si>
  <si>
    <t>10/07-11/07</t>
  </si>
  <si>
    <t>*(799.9-125.2)</t>
  </si>
  <si>
    <t>*(155.5-98.9)</t>
  </si>
  <si>
    <t>09/29-10/29</t>
  </si>
  <si>
    <t>10/29-12/01</t>
  </si>
  <si>
    <t>2004 AG</t>
  </si>
  <si>
    <t>2004 CR</t>
  </si>
  <si>
    <t>SUB-TOTAL</t>
  </si>
  <si>
    <t xml:space="preserve"> Pumping Charge</t>
  </si>
  <si>
    <t>11/07-12/11</t>
  </si>
  <si>
    <t>*(694.2-153.6)</t>
  </si>
  <si>
    <t>*(145.8-158.7)</t>
  </si>
  <si>
    <t>12/11-01/12</t>
  </si>
  <si>
    <t>*(609.9-119.5)</t>
  </si>
  <si>
    <t xml:space="preserve"> Dist. 17 #1</t>
  </si>
  <si>
    <t xml:space="preserve"> Dist. 17 #2</t>
  </si>
  <si>
    <t>*(122.7-106.9)</t>
  </si>
  <si>
    <t>12/31-01/30</t>
  </si>
  <si>
    <t>01/14-02/11</t>
  </si>
  <si>
    <t>01/12-02/11</t>
  </si>
  <si>
    <t>*(890.1-138.9)</t>
  </si>
  <si>
    <t>02/11-03/15</t>
  </si>
  <si>
    <t>02/11-03/12</t>
  </si>
  <si>
    <t xml:space="preserve">   (5a) Month's % of Purchases + Local Production</t>
  </si>
  <si>
    <t>CRC / RTS (L/S)</t>
  </si>
  <si>
    <t>*(1164.9-174.6)</t>
  </si>
  <si>
    <t>*(190.5-105.5)</t>
  </si>
  <si>
    <t>*(277.0-156.5)</t>
  </si>
  <si>
    <t>02/01-02/29</t>
  </si>
  <si>
    <t>03/15-04/13</t>
  </si>
  <si>
    <t>03/12-04/12</t>
  </si>
  <si>
    <t>*(1494.3-203.2)</t>
  </si>
  <si>
    <t>*(334.3-140.5)</t>
  </si>
  <si>
    <t>03/02-03/29</t>
  </si>
  <si>
    <t>03/31-04/29</t>
  </si>
  <si>
    <t>04/29-05/28</t>
  </si>
  <si>
    <t>04/13-05/11</t>
  </si>
  <si>
    <t>04/12-05/11</t>
  </si>
  <si>
    <t>*(1369.8-211.4)</t>
  </si>
  <si>
    <t>*(296.6-174.7)</t>
  </si>
  <si>
    <t>05/28-06/29</t>
  </si>
  <si>
    <t>05/11-06/10</t>
  </si>
  <si>
    <t>*(1518.8-275.6)</t>
  </si>
  <si>
    <t>*(343.0-253.8)</t>
  </si>
  <si>
    <t>USED</t>
  </si>
  <si>
    <t>*(1568.0-285.7)</t>
  </si>
  <si>
    <t>*(386.6-295.2)</t>
  </si>
  <si>
    <t>06/29-07/29</t>
  </si>
  <si>
    <t>07/12-08/10</t>
  </si>
  <si>
    <t>*(1482.1-261.8)</t>
  </si>
  <si>
    <t>Usage</t>
  </si>
  <si>
    <t>08/10-09/10</t>
  </si>
  <si>
    <t>08/09-09/09</t>
  </si>
  <si>
    <t>07/29-08/27</t>
  </si>
  <si>
    <t>*(194.5-188.1)</t>
  </si>
  <si>
    <t>*(359.5-270.3</t>
  </si>
  <si>
    <t>Prev. Read</t>
  </si>
  <si>
    <t>DWUs</t>
  </si>
  <si>
    <t>Full Service Purchased from MWD</t>
  </si>
  <si>
    <t>Minus Change in System Storage (GSP)</t>
  </si>
  <si>
    <t>Local Production</t>
  </si>
  <si>
    <t>Proportion of Total Usage (Full + Local)</t>
  </si>
  <si>
    <t>Dom Use (PWRR)</t>
  </si>
  <si>
    <t>015-016 DWUs with zero/blank usage:</t>
  </si>
  <si>
    <t>Total All Other DWUs</t>
  </si>
  <si>
    <t>Total 015-016 DWUs</t>
  </si>
  <si>
    <t>All Other DWUs with zero/blank usage</t>
  </si>
  <si>
    <t>Apportioned Ag Only Usage (HCF)</t>
  </si>
  <si>
    <t>015,016 Ag w/Dom Usage (HCF)</t>
  </si>
  <si>
    <t>(a) Total (AF)  "Metered Quantity"</t>
  </si>
  <si>
    <t>Apportioned Other Ag w/Dom Usage (HCF)</t>
  </si>
  <si>
    <t>015,016 Ag Only Usage (HCF)</t>
  </si>
  <si>
    <t>(b) Total Ag Only Usage (AF)</t>
  </si>
  <si>
    <t>Ag Use with Dom. (Upr UAR)</t>
  </si>
  <si>
    <t>Ag Use Only      (Lwr UAR)</t>
  </si>
  <si>
    <t>DWUs w/Zero or Blank Usage</t>
  </si>
  <si>
    <t>Dom + Ag (Total Usage)</t>
  </si>
  <si>
    <t>All Other Ag w/Dom Usage (HCF)</t>
  </si>
  <si>
    <t>All Other Ag Only Usage (HCF)</t>
  </si>
  <si>
    <t>Apportioned Other Ag Only Usage (HCF)</t>
  </si>
  <si>
    <t>Ag w/Dom Usage (HCF)</t>
  </si>
  <si>
    <t>Apportioned Ag w/Dom Usage (HCF)</t>
  </si>
  <si>
    <t>Ag Only Usage(HCF)</t>
  </si>
  <si>
    <t>Total Ag Only Usage (AF)</t>
  </si>
  <si>
    <t>No. Single Unit Dwellings (DWU's)</t>
  </si>
  <si>
    <t>DWUs with zero/blank usage:</t>
  </si>
  <si>
    <t>(Bold cells are used in Dist 1 calculations below)</t>
  </si>
  <si>
    <t>(Bold cells are used in Dist 19 calculations below)</t>
  </si>
  <si>
    <t>2005</t>
  </si>
  <si>
    <t>Alloc.</t>
  </si>
  <si>
    <t>Avail.</t>
  </si>
  <si>
    <t>FY PRODUCTION</t>
  </si>
  <si>
    <t>- Previous</t>
  </si>
  <si>
    <t>Present</t>
  </si>
  <si>
    <t>Invoice</t>
  </si>
  <si>
    <t>Compare to</t>
  </si>
  <si>
    <t>INVOICE CALCULATION DETAIL</t>
  </si>
  <si>
    <t>Imported</t>
  </si>
  <si>
    <t>Local Prod.</t>
  </si>
  <si>
    <t>- Hi / Lo</t>
  </si>
  <si>
    <t xml:space="preserve">Production </t>
  </si>
  <si>
    <t>Detail</t>
  </si>
  <si>
    <t>(Adjustment)</t>
  </si>
  <si>
    <t>AG Credit (#15)</t>
  </si>
  <si>
    <t>AF BILLED</t>
  </si>
  <si>
    <t>SIMI VLY</t>
  </si>
  <si>
    <t xml:space="preserve"> Accts:</t>
  </si>
  <si>
    <t>DISTRICT 16</t>
  </si>
  <si>
    <t>Messages</t>
  </si>
  <si>
    <t>(6)   Total Sales (Dom+Ag Use * 5a)</t>
  </si>
  <si>
    <t>(6)   Total Sales (Dom+Ag Use both months * 5a)</t>
  </si>
  <si>
    <t>Total DWUs - (DWUs w/ zero/blank usage)</t>
  </si>
  <si>
    <r>
      <t>DWUs</t>
    </r>
    <r>
      <rPr>
        <b/>
        <sz val="16"/>
        <color indexed="20"/>
        <rFont val="Arial"/>
        <family val="2"/>
      </rPr>
      <t xml:space="preserve"> - </t>
    </r>
    <r>
      <rPr>
        <b/>
        <sz val="12"/>
        <color indexed="20"/>
        <rFont val="Arial"/>
        <family val="2"/>
      </rPr>
      <t>(DWUs w/ zero/blank usage)</t>
    </r>
  </si>
  <si>
    <t>Well Read</t>
  </si>
  <si>
    <t>Meter Read</t>
  </si>
  <si>
    <t>Total DWUs (UAR)</t>
  </si>
  <si>
    <t>AF Purch.</t>
  </si>
  <si>
    <t xml:space="preserve"> Total Imported (AF)</t>
  </si>
  <si>
    <t>BILLED</t>
  </si>
  <si>
    <t>(Adjustment):</t>
  </si>
  <si>
    <t>Tot AG Use (#9):</t>
  </si>
  <si>
    <t>Fairview  (AF):</t>
  </si>
  <si>
    <t>09/10-10/13</t>
  </si>
  <si>
    <t>09/09-10/08</t>
  </si>
  <si>
    <t>*(742.2-146.7)</t>
  </si>
  <si>
    <t>*(908.8-187.8)</t>
  </si>
  <si>
    <t>*(154.5-143.1)</t>
  </si>
  <si>
    <t>total</t>
  </si>
  <si>
    <t>(8)   Ag+ Incidental Dom Service (Ag+Dom Use-DWU*.06)</t>
  </si>
  <si>
    <t>*(724.5-142.8)</t>
  </si>
  <si>
    <t>*(280.6-177.8)</t>
  </si>
  <si>
    <t>11/09-12/10</t>
  </si>
  <si>
    <t>10/08-11/09</t>
  </si>
  <si>
    <t>10/13-11/09</t>
  </si>
  <si>
    <t>12/01-12/30</t>
  </si>
  <si>
    <t>DIST. 17 #2</t>
  </si>
  <si>
    <t>DIST. 17 #1</t>
  </si>
  <si>
    <t>12/12-01/12</t>
  </si>
  <si>
    <t>12/10-01/11</t>
  </si>
  <si>
    <t>2005 CR</t>
  </si>
  <si>
    <t>2005 AG</t>
  </si>
  <si>
    <t>01/12-02/10</t>
  </si>
  <si>
    <t>01/11-02/10</t>
  </si>
  <si>
    <t>02/10-03/14</t>
  </si>
  <si>
    <t>02/10-03/12</t>
  </si>
  <si>
    <t>01/31-03/02</t>
  </si>
  <si>
    <t xml:space="preserve">Diff. </t>
  </si>
  <si>
    <t>03/02-03/31</t>
  </si>
  <si>
    <t>04/29-05/31</t>
  </si>
  <si>
    <t>04/12-05/12</t>
  </si>
  <si>
    <t>05/10-06/10</t>
  </si>
  <si>
    <t>06/01-06/30</t>
  </si>
  <si>
    <t>07/01-07/30</t>
  </si>
  <si>
    <t>08/10-09/09</t>
  </si>
  <si>
    <t>09/09-10/12</t>
  </si>
  <si>
    <t>VENTURA COUNTY WATER &amp; SANITATION</t>
  </si>
  <si>
    <t>(5)   Total Water Supplied (1+4)</t>
  </si>
  <si>
    <t>10/12-11/14</t>
  </si>
  <si>
    <t>Rev Total</t>
  </si>
  <si>
    <t xml:space="preserve"> Enter TOTAL Power $</t>
  </si>
  <si>
    <t>2006</t>
  </si>
  <si>
    <t>11/14-12/13</t>
  </si>
  <si>
    <t>10/12-11/10</t>
  </si>
  <si>
    <t>11/10-12/13</t>
  </si>
  <si>
    <t>2006 AG</t>
  </si>
  <si>
    <t>2006 CR</t>
  </si>
  <si>
    <t>FY91</t>
  </si>
  <si>
    <t>FY92</t>
  </si>
  <si>
    <t>FY93</t>
  </si>
  <si>
    <t>FY94</t>
  </si>
  <si>
    <t>FY95</t>
  </si>
  <si>
    <t>FY96</t>
  </si>
  <si>
    <t>FY97</t>
  </si>
  <si>
    <t>FY98</t>
  </si>
  <si>
    <t>FY99</t>
  </si>
  <si>
    <t>FY00</t>
  </si>
  <si>
    <t>FY01</t>
  </si>
  <si>
    <t>FY02</t>
  </si>
  <si>
    <t>FY03</t>
  </si>
  <si>
    <t>FY04</t>
  </si>
  <si>
    <t>FY05</t>
  </si>
  <si>
    <t>3N/19W-33P03</t>
  </si>
  <si>
    <t>2N/20W-06R01</t>
  </si>
  <si>
    <t>02N21W33R01S</t>
  </si>
  <si>
    <t>3N/19W-32D01</t>
  </si>
  <si>
    <t>2N/20W-08B01</t>
  </si>
  <si>
    <t>02N21W34L02S</t>
  </si>
  <si>
    <t>3N/20W-36G01</t>
  </si>
  <si>
    <t>2N/20W-09F01</t>
  </si>
  <si>
    <t>02N21W33R02S</t>
  </si>
  <si>
    <t>3N/20W-35J01</t>
  </si>
  <si>
    <t>3N/20W-35R01</t>
  </si>
  <si>
    <t>3N/20W-36A02</t>
  </si>
  <si>
    <t>WATERS ROAD DOMESTIC USERS GROUP</t>
  </si>
  <si>
    <t>WELL 20:</t>
  </si>
  <si>
    <t>3N/19W-31H01</t>
  </si>
  <si>
    <t>HISTORICAL</t>
  </si>
  <si>
    <t>12/13-01/13</t>
  </si>
  <si>
    <t>12/13-01/12</t>
  </si>
  <si>
    <t xml:space="preserve">(per SCE Minimum Charge Reduction, May-Aug Billings) </t>
  </si>
  <si>
    <t>*(490.9-228.7)</t>
  </si>
  <si>
    <t>*(56.8-56.8)</t>
  </si>
  <si>
    <t>*(89.4-89.4)</t>
  </si>
  <si>
    <t>02/01-03/02</t>
  </si>
  <si>
    <t>*(883.6-238.3)</t>
  </si>
  <si>
    <t>*(209.3-209.3)</t>
  </si>
  <si>
    <t>*(491.1-105.4)</t>
  </si>
  <si>
    <t>*(493.2-74.1)</t>
  </si>
  <si>
    <t>*(841.2-76.4)</t>
  </si>
  <si>
    <t>*(1126.1-276.0)</t>
  </si>
  <si>
    <t>*(1237.0-280.3)</t>
  </si>
  <si>
    <t>*(1407.1-294.9)</t>
  </si>
  <si>
    <t>*(1390.4-299.9)</t>
  </si>
  <si>
    <t>*(1240.6-308.3)</t>
  </si>
  <si>
    <t>*(973.4-209.5)</t>
  </si>
  <si>
    <t>*(874.4-174.8)</t>
  </si>
  <si>
    <t>*(831.7-177.3)</t>
  </si>
  <si>
    <t>*(65.0-88.0)</t>
  </si>
  <si>
    <t>*(54.3-74.4)</t>
  </si>
  <si>
    <t>*(42.4-97.7)</t>
  </si>
  <si>
    <t>*(103.6-125.7)</t>
  </si>
  <si>
    <t>*(249.9-276.8)</t>
  </si>
  <si>
    <t>*(268.7-241.2)</t>
  </si>
  <si>
    <t>*(304.8-267.9)</t>
  </si>
  <si>
    <t>*(281.9-253.0)</t>
  </si>
  <si>
    <t>*(283.9-260.0)</t>
  </si>
  <si>
    <t>*(206.0-158.8)</t>
  </si>
  <si>
    <t>*(205.1-146.6)</t>
  </si>
  <si>
    <t>*(192-209.5)</t>
  </si>
  <si>
    <t>*(1259.0-270.5)</t>
  </si>
  <si>
    <t>*(290.6-290.6)</t>
  </si>
  <si>
    <t>*(1582.7-212.2)</t>
  </si>
  <si>
    <t>*(358.9-173.9)</t>
  </si>
  <si>
    <t>05/11-06/13</t>
  </si>
  <si>
    <t>06/13-07/12</t>
  </si>
  <si>
    <t>06/12-07/11</t>
  </si>
  <si>
    <t>*(1442.8-208.6)</t>
  </si>
  <si>
    <t>*(346.9-183.1)</t>
  </si>
  <si>
    <t>03/31-05/01</t>
  </si>
  <si>
    <t>06/29-07/31</t>
  </si>
  <si>
    <t>05/31-06/29</t>
  </si>
  <si>
    <t>07/31-08/29</t>
  </si>
  <si>
    <t>*(1310.5-205.4)</t>
  </si>
  <si>
    <t>07/11-08/10</t>
  </si>
  <si>
    <t>08/29-09/28</t>
  </si>
  <si>
    <t>*(300.6-195.2)</t>
  </si>
  <si>
    <t>*(1189.5-208.6)</t>
  </si>
  <si>
    <t>08/10-09/11</t>
  </si>
  <si>
    <t>09/28-10/30</t>
  </si>
  <si>
    <t>*(1140.4-208.4)</t>
  </si>
  <si>
    <t>*(272.0-195.8)</t>
  </si>
  <si>
    <t>09/11-10/11</t>
  </si>
  <si>
    <t>2007 AG</t>
  </si>
  <si>
    <t>2007 CR</t>
  </si>
  <si>
    <t>2007</t>
  </si>
  <si>
    <t>10/30-11/30</t>
  </si>
  <si>
    <t>10/11-11/13</t>
  </si>
  <si>
    <t>*(944.2-207.8)</t>
  </si>
  <si>
    <t>*(215.2-207.7)</t>
  </si>
  <si>
    <t>Available</t>
  </si>
  <si>
    <t>11/13-12/13</t>
  </si>
  <si>
    <t>11/09-12/12</t>
  </si>
  <si>
    <t>11/30-12/29</t>
  </si>
  <si>
    <t>*(193.0-156.7)</t>
  </si>
  <si>
    <t>*(554.0-185.9)</t>
  </si>
  <si>
    <t>015-6</t>
  </si>
  <si>
    <t>12/12-01/11</t>
  </si>
  <si>
    <t>*(80.3-80.3)</t>
  </si>
  <si>
    <t>01/12-02/12</t>
  </si>
  <si>
    <t>01/11-02/09</t>
  </si>
  <si>
    <t>*(234.8-205.9)</t>
  </si>
  <si>
    <t>*(490.6-113.3)</t>
  </si>
  <si>
    <t>*(306.8-185.8)</t>
  </si>
  <si>
    <t xml:space="preserve"> Rep of Fac (L/S)</t>
  </si>
  <si>
    <t>12/29-01/30</t>
  </si>
  <si>
    <t>03/01-03/30</t>
  </si>
  <si>
    <t>02-12-03/14</t>
  </si>
  <si>
    <t>*(182.6-182.6)</t>
  </si>
  <si>
    <t>02/09-03/13</t>
  </si>
  <si>
    <t xml:space="preserve">DISTRICT 1 </t>
  </si>
  <si>
    <t xml:space="preserve"> AG CREDIT CALCULATION FOR</t>
  </si>
  <si>
    <t>Div. 1</t>
  </si>
  <si>
    <t>Div. 2</t>
  </si>
  <si>
    <t>Div. 3</t>
  </si>
  <si>
    <t>Div. 4</t>
  </si>
  <si>
    <t>VALUE</t>
  </si>
  <si>
    <t>*(290.2-290.2)</t>
  </si>
  <si>
    <t>03/30-04/30</t>
  </si>
  <si>
    <t>*(258.5-258.5)</t>
  </si>
  <si>
    <t>04/10-05/10</t>
  </si>
  <si>
    <t>STAFF SERVICES MANAGER</t>
  </si>
  <si>
    <t>(85%*20)</t>
  </si>
  <si>
    <t>2000-2006</t>
  </si>
  <si>
    <t>(inc 20 AF, 2005)</t>
  </si>
  <si>
    <t>3N/19W-31B01</t>
  </si>
  <si>
    <t>WELL 15:</t>
  </si>
  <si>
    <t>2005 Base Yr</t>
  </si>
  <si>
    <t>*(289.8-289.8)</t>
  </si>
  <si>
    <t>05/11-06/12</t>
  </si>
  <si>
    <t>*(379.1-379.1)</t>
  </si>
  <si>
    <t>06/28-07/30</t>
  </si>
  <si>
    <t>08/28-09/27</t>
  </si>
  <si>
    <t>*(331.1-241.0)</t>
  </si>
  <si>
    <t>(GCC)</t>
  </si>
  <si>
    <t>09/27-10/29</t>
  </si>
  <si>
    <t>*(195.7-5.0)</t>
  </si>
  <si>
    <t>09/10-10/10</t>
  </si>
  <si>
    <t>GCC Total:</t>
  </si>
  <si>
    <t>TOTAL DUE</t>
  </si>
  <si>
    <t>For Production Month</t>
  </si>
  <si>
    <t>Zone</t>
  </si>
  <si>
    <t>Zone sub meter</t>
  </si>
  <si>
    <t>10/29-11/29</t>
  </si>
  <si>
    <t>11/29-12/31</t>
  </si>
  <si>
    <t>(80% of base yr.)</t>
  </si>
  <si>
    <t>Base</t>
  </si>
  <si>
    <r>
      <t xml:space="preserve">End of year: Add </t>
    </r>
    <r>
      <rPr>
        <b/>
        <i/>
        <sz val="12"/>
        <rFont val="Arial"/>
        <family val="2"/>
      </rPr>
      <t>55.37</t>
    </r>
    <r>
      <rPr>
        <i/>
        <sz val="12"/>
        <rFont val="Arial"/>
        <family val="2"/>
      </rPr>
      <t xml:space="preserve"> AF for baseline allocation.</t>
    </r>
  </si>
  <si>
    <t>UPDATED 4/01/08</t>
  </si>
  <si>
    <t>WELL SOLD 2004, ALLOCATION RETAINED</t>
  </si>
  <si>
    <t xml:space="preserve">ACCURATE </t>
  </si>
  <si>
    <t>FOR ODD</t>
  </si>
  <si>
    <t>MONTH ONLY</t>
  </si>
  <si>
    <t>06/12-07/14</t>
  </si>
  <si>
    <t>07/14-08/12</t>
  </si>
  <si>
    <t>*(169.7-118.4)</t>
  </si>
  <si>
    <t>*(213.3-142.9)</t>
  </si>
  <si>
    <t>*(105.5-100.8)</t>
  </si>
  <si>
    <t>*(121.2-100.6)</t>
  </si>
  <si>
    <t>*(48.0-44.8)</t>
  </si>
  <si>
    <t>*(57.1-51.0)</t>
  </si>
  <si>
    <t>*(164.8-133.1)</t>
  </si>
  <si>
    <t>*(273.2-214.6)</t>
  </si>
  <si>
    <t>*(283.2-263.8)</t>
  </si>
  <si>
    <t>*284.7-284.7)</t>
  </si>
  <si>
    <t>*(279.8-279.8)</t>
  </si>
  <si>
    <t>*(282.2-282.2)</t>
  </si>
  <si>
    <t>*(263.2-263.2)</t>
  </si>
  <si>
    <t>*(117.1-117.1)</t>
  </si>
  <si>
    <t>*(52.6-52.6)</t>
  </si>
  <si>
    <t>*(32.0-32.0)</t>
  </si>
  <si>
    <t>*(74.5-74.5)</t>
  </si>
  <si>
    <t>*(181.4-181.4)</t>
  </si>
  <si>
    <t>*(216.3-202.5)</t>
  </si>
  <si>
    <t>*(232.2-229.5)</t>
  </si>
  <si>
    <t>*(274.4-290.3)</t>
  </si>
  <si>
    <t>*(310.5-310.0)</t>
  </si>
  <si>
    <t>*(296.5-294.5)</t>
  </si>
  <si>
    <t>*(321.3-318.7)</t>
  </si>
  <si>
    <t>*(225.0-225.0)</t>
  </si>
  <si>
    <t>*(84.7-84.7)</t>
  </si>
  <si>
    <t>*(234.2-234.2)</t>
  </si>
  <si>
    <t>*(110.2-110.2)</t>
  </si>
  <si>
    <t>*(92.9-92.9)</t>
  </si>
  <si>
    <t>*(166.9-166.9)</t>
  </si>
  <si>
    <t>LOCAL, GSP</t>
  </si>
  <si>
    <t>LOCAL,GCC / GSP</t>
  </si>
  <si>
    <t>011/2/3</t>
  </si>
  <si>
    <t>Adjustment:</t>
  </si>
  <si>
    <t>10/30-12/02</t>
  </si>
  <si>
    <t>2009 CR</t>
  </si>
  <si>
    <t>2009 AG</t>
  </si>
  <si>
    <t>11/10-12/12</t>
  </si>
  <si>
    <t>TOTAL
Consumption
(URMS)</t>
  </si>
  <si>
    <t>Proposed</t>
  </si>
  <si>
    <t>12/12-01/13</t>
  </si>
  <si>
    <t>12/24-01/26</t>
  </si>
  <si>
    <t>01/30-03/03</t>
  </si>
  <si>
    <t>(Waters Rd)</t>
  </si>
  <si>
    <t>01/26-02/25</t>
  </si>
  <si>
    <t>01/13-02/11</t>
  </si>
  <si>
    <t>Interim Ag Wtr Cr-Month 1</t>
  </si>
  <si>
    <t>Interim Ag Wtr Cr-Month 2</t>
  </si>
  <si>
    <t>Use for a Second Billing within period</t>
  </si>
  <si>
    <t>Use FIRST in case of multiple billings within period</t>
  </si>
  <si>
    <t>02/15-03/26</t>
  </si>
  <si>
    <t>02/11-03/13</t>
  </si>
  <si>
    <t>03/03-04/01</t>
  </si>
  <si>
    <t>04/01-05/01</t>
  </si>
  <si>
    <t>03/26-04/27</t>
  </si>
  <si>
    <t>03/13-04/13</t>
  </si>
  <si>
    <t>05/01-06/02</t>
  </si>
  <si>
    <t>College Park</t>
  </si>
  <si>
    <t xml:space="preserve"> Fairview</t>
  </si>
  <si>
    <t xml:space="preserve"> Gabbert</t>
  </si>
  <si>
    <t xml:space="preserve"> Grimes</t>
  </si>
  <si>
    <t xml:space="preserve"> Hitch</t>
  </si>
  <si>
    <t xml:space="preserve"> Peach Hill</t>
  </si>
  <si>
    <t xml:space="preserve"> Science</t>
  </si>
  <si>
    <t xml:space="preserve"> Spring</t>
  </si>
  <si>
    <t xml:space="preserve"> Walnut</t>
  </si>
  <si>
    <t xml:space="preserve"> Woodcrest</t>
  </si>
  <si>
    <t>04/13-05/13</t>
  </si>
  <si>
    <t>06/02-07/01</t>
  </si>
  <si>
    <t>05/13-06/12</t>
  </si>
  <si>
    <t>PROPOSED</t>
  </si>
  <si>
    <t>06/25-07/27</t>
  </si>
  <si>
    <t>05/27-06/25</t>
  </si>
  <si>
    <t>04/27-05/27</t>
  </si>
  <si>
    <t>CHARGE</t>
  </si>
  <si>
    <t>CHG / AF</t>
  </si>
  <si>
    <t>PROD</t>
  </si>
  <si>
    <t>FAIRVIEW ACCOUNT = 3-000-4440-20</t>
  </si>
  <si>
    <t>ZONE II ACCOUNT = 3-001-1907-37</t>
  </si>
  <si>
    <t>District 1 Fairview Booster Pump Station</t>
  </si>
  <si>
    <t xml:space="preserve">ACCOUNTS = 3-000-2042-86,  3-000-5300-03,  3-001-1588-93 </t>
  </si>
  <si>
    <t>2010 AG</t>
  </si>
  <si>
    <t>2011 AG</t>
  </si>
  <si>
    <t>2012 AG</t>
  </si>
  <si>
    <t>CUMULATIVE</t>
  </si>
  <si>
    <t>TIER 1</t>
  </si>
  <si>
    <t>AGREES</t>
  </si>
  <si>
    <t>WATER</t>
  </si>
  <si>
    <t>MONTH</t>
  </si>
  <si>
    <t>PURCHASED</t>
  </si>
  <si>
    <t>?</t>
  </si>
  <si>
    <t>WITH CMWD</t>
  </si>
  <si>
    <t>AVAILABLE</t>
  </si>
  <si>
    <t>W/CMWD</t>
  </si>
  <si>
    <t>W/ CMWD</t>
  </si>
  <si>
    <t>TIER II</t>
  </si>
  <si>
    <t xml:space="preserve">DISTRICT 19 </t>
  </si>
  <si>
    <t>For use when there are</t>
  </si>
  <si>
    <t>Ag Certifications.</t>
  </si>
  <si>
    <t>Discrepancy</t>
  </si>
  <si>
    <t>LOCAL</t>
  </si>
  <si>
    <t>In Lieu and / or</t>
  </si>
  <si>
    <r>
      <t xml:space="preserve">Cap Reserve Charge </t>
    </r>
    <r>
      <rPr>
        <b/>
        <sz val="10"/>
        <color indexed="16"/>
        <rFont val="Arial"/>
        <family val="2"/>
      </rPr>
      <t>(Pooled)</t>
    </r>
  </si>
  <si>
    <t xml:space="preserve">TIER I </t>
  </si>
  <si>
    <t>MWD Tier 1 Supply Rate + Supply Surcharge</t>
  </si>
  <si>
    <t>MWD Tier 2 Supply Rate</t>
  </si>
  <si>
    <t xml:space="preserve">MWD System Access Rate </t>
  </si>
  <si>
    <t>MWD Water Stewardship Rate</t>
  </si>
  <si>
    <t>MWD System Power Rate</t>
  </si>
  <si>
    <t>MWD Treatment Surcharge</t>
  </si>
  <si>
    <t>CMWD O&amp;M Surcharge</t>
  </si>
  <si>
    <t>CMWD Capacity Reservation Charge (CRC,  Pooled -&gt; Dist. 1)</t>
  </si>
  <si>
    <t>Water</t>
  </si>
  <si>
    <t>Purchased</t>
  </si>
  <si>
    <t>in (HCF)</t>
  </si>
  <si>
    <t>LAKE SHERWOOD CSD</t>
  </si>
  <si>
    <t>(AF)</t>
  </si>
  <si>
    <t>ANNUAL INITIALIZATIONS FOR THE YEAR</t>
  </si>
  <si>
    <t>TIERS TO RETURN</t>
  </si>
  <si>
    <t>07/27-08/25</t>
  </si>
  <si>
    <t>07/31-08/31</t>
  </si>
  <si>
    <t xml:space="preserve"> Peach</t>
  </si>
  <si>
    <t>Sherwood P S</t>
  </si>
  <si>
    <t>Linked to "Tier I Avail" Worksheet</t>
  </si>
  <si>
    <t>08/31-09/30</t>
  </si>
  <si>
    <t>08/25-09/24</t>
  </si>
  <si>
    <t>08/12-09/11</t>
  </si>
  <si>
    <t>(Rate 22 / AF)</t>
  </si>
  <si>
    <t>One acre-foot in square feet (do not move)</t>
  </si>
  <si>
    <t>09/24-10/26</t>
  </si>
  <si>
    <t>10/16-11/24</t>
  </si>
  <si>
    <t>09/11-10/13</t>
  </si>
  <si>
    <t>10/13-11/12</t>
  </si>
  <si>
    <t>09/30-10/30</t>
  </si>
  <si>
    <t>METERED</t>
  </si>
  <si>
    <t>&lt;-- 'Prod Data'!L136</t>
  </si>
  <si>
    <t>Change Dates</t>
  </si>
  <si>
    <t>CMWD Capital Construction, Rate Deferral Surcharges</t>
  </si>
  <si>
    <t>Hitch Blvd</t>
  </si>
  <si>
    <t>Price Rd</t>
  </si>
  <si>
    <t>11/24-12/24</t>
  </si>
  <si>
    <t>12/11-01/10</t>
  </si>
  <si>
    <t>03/14-04/14</t>
  </si>
  <si>
    <t>04/14-05/13</t>
  </si>
  <si>
    <t>05/12-06/12</t>
  </si>
  <si>
    <t>08.12-09/11</t>
  </si>
  <si>
    <t>09/11-10/24</t>
  </si>
  <si>
    <t>10/24-11/24</t>
  </si>
  <si>
    <t>01/10-02/11</t>
  </si>
  <si>
    <t>07/11-08/11</t>
  </si>
  <si>
    <t>08/11-09/10</t>
  </si>
  <si>
    <t>09/10-10/09</t>
  </si>
  <si>
    <t>10/09-11/10</t>
  </si>
  <si>
    <t>01/30-02/29</t>
  </si>
  <si>
    <t>02/29-04/01</t>
  </si>
  <si>
    <t>06/60-07/30</t>
  </si>
  <si>
    <t>09/29-10/30</t>
  </si>
  <si>
    <t>12/02-12/31</t>
  </si>
  <si>
    <t>CMWD Tier I Supply Rate</t>
  </si>
  <si>
    <t>12/14-01/13</t>
  </si>
  <si>
    <t>2000-20</t>
  </si>
  <si>
    <t>2010 Base Yr</t>
  </si>
  <si>
    <t xml:space="preserve">Adjustment </t>
  </si>
  <si>
    <t>12/31-02/01</t>
  </si>
  <si>
    <t>02/01-03/03</t>
  </si>
  <si>
    <t>02/25-03/26</t>
  </si>
  <si>
    <t>VALIDATION WORKSHEET</t>
  </si>
  <si>
    <t>03/26-04/26</t>
  </si>
  <si>
    <t>03/15-04/12</t>
  </si>
  <si>
    <t>04/30-06/01</t>
  </si>
  <si>
    <t>Ratio (meter / turnout meter)</t>
  </si>
  <si>
    <t>Dist. 17</t>
  </si>
  <si>
    <t>EDISON CHARGES</t>
  </si>
  <si>
    <t>Dist. 1</t>
  </si>
  <si>
    <t>Units Billed</t>
  </si>
  <si>
    <t>04/26-05/25</t>
  </si>
  <si>
    <t>TOTAL IMPORT</t>
  </si>
  <si>
    <t>05/25-06/24</t>
  </si>
  <si>
    <t>Well 4</t>
  </si>
  <si>
    <t>07/26-08/24</t>
  </si>
  <si>
    <t>07/13-08/10</t>
  </si>
  <si>
    <t>06/10-07/13</t>
  </si>
  <si>
    <t>06/24/07/26</t>
  </si>
  <si>
    <t>08/01-08/30</t>
  </si>
  <si>
    <t>TOTAL DIST. 19 (AF)</t>
  </si>
  <si>
    <t>08/24-09/23</t>
  </si>
  <si>
    <t>08/30-09/29</t>
  </si>
  <si>
    <t>09/23-10/25</t>
  </si>
  <si>
    <t>For Total (of Local and Imported) drag formula each month</t>
  </si>
  <si>
    <t>10/25-11/23</t>
  </si>
  <si>
    <t>10/08-11/10</t>
  </si>
  <si>
    <t xml:space="preserve">GSP/GCC Water </t>
  </si>
  <si>
    <t>Dist 1</t>
  </si>
  <si>
    <t>Dist 19</t>
  </si>
  <si>
    <t>(GMA Allocation Transferred to CMWD)</t>
  </si>
  <si>
    <t>11/23-12/23</t>
  </si>
  <si>
    <t>11/10-12/10</t>
  </si>
  <si>
    <t>12/23-01/25</t>
  </si>
  <si>
    <t>12/10-01/12</t>
  </si>
  <si>
    <t>12/30-01/31</t>
  </si>
  <si>
    <t>Well 20</t>
  </si>
  <si>
    <t>01/25-02/24</t>
  </si>
  <si>
    <t>01/12-02/09</t>
  </si>
  <si>
    <t>HCF</t>
  </si>
  <si>
    <t>CF</t>
  </si>
  <si>
    <t>HCF/100 GAL*</t>
  </si>
  <si>
    <t>02/24-03/25</t>
  </si>
  <si>
    <t>02/09-03/11</t>
  </si>
  <si>
    <t>03/25-04/25</t>
  </si>
  <si>
    <t>04/25-05/24</t>
  </si>
  <si>
    <t>03/11-04/12</t>
  </si>
  <si>
    <t>05/24-06/23</t>
  </si>
  <si>
    <t>05/10-06/09</t>
  </si>
  <si>
    <t>06/23-07/25</t>
  </si>
  <si>
    <t>06/09-07/11</t>
  </si>
  <si>
    <t>Sand Canyon</t>
  </si>
  <si>
    <t>Well 4*</t>
  </si>
  <si>
    <t>07/25-08/23</t>
  </si>
  <si>
    <t>07/29-08/29</t>
  </si>
  <si>
    <t xml:space="preserve">  </t>
  </si>
  <si>
    <t>08/23-09/22</t>
  </si>
  <si>
    <t>09/22-10/25</t>
  </si>
  <si>
    <t>09/09-10/11</t>
  </si>
  <si>
    <t>Donlon Rd-Large</t>
  </si>
  <si>
    <t>10/11-11/10</t>
  </si>
  <si>
    <t>09/28-10/31</t>
  </si>
  <si>
    <t>2009</t>
  </si>
  <si>
    <t>2011</t>
  </si>
  <si>
    <t>12/13-01/11</t>
  </si>
  <si>
    <t>01/31-03/01</t>
  </si>
  <si>
    <t>GMA</t>
  </si>
  <si>
    <r>
      <t xml:space="preserve">Allocations </t>
    </r>
    <r>
      <rPr>
        <b/>
        <sz val="10"/>
        <rFont val="Arial"/>
        <family val="2"/>
      </rPr>
      <t>(AF)</t>
    </r>
  </si>
  <si>
    <t>02/24-03/26</t>
  </si>
  <si>
    <t>District Totals</t>
  </si>
  <si>
    <t>03/12-04/10</t>
  </si>
  <si>
    <t>03/26-04/24</t>
  </si>
  <si>
    <t>04/24-05/23</t>
  </si>
  <si>
    <t>05/23-06/22</t>
  </si>
  <si>
    <t>06/22-07/24</t>
  </si>
  <si>
    <t>06/28-07/28</t>
  </si>
  <si>
    <t>07/24-08/22</t>
  </si>
  <si>
    <t>Well 98*</t>
  </si>
  <si>
    <t>HCF/10GAL*</t>
  </si>
  <si>
    <t>08/22-09/21</t>
  </si>
  <si>
    <t>9/21-10/24</t>
  </si>
  <si>
    <t>One acre-foot in gallons</t>
  </si>
  <si>
    <t>9/27-10/30</t>
  </si>
  <si>
    <t>10/24-11/26</t>
  </si>
  <si>
    <t>For next year,</t>
  </si>
  <si>
    <t>change these</t>
  </si>
  <si>
    <t>dates manually</t>
  </si>
  <si>
    <t>11/26-12/24</t>
  </si>
  <si>
    <t>11/30-12/31</t>
  </si>
  <si>
    <t>2013 AG</t>
  </si>
  <si>
    <t>2014 AG</t>
  </si>
  <si>
    <t>12/24-01/24</t>
  </si>
  <si>
    <t>01/24-02/25</t>
  </si>
  <si>
    <t>01/11-02/11</t>
  </si>
  <si>
    <t>02/25-0326</t>
  </si>
  <si>
    <t>03/26-04/29</t>
  </si>
  <si>
    <t>03/01-04/01</t>
  </si>
  <si>
    <t>04/01-04/09</t>
  </si>
  <si>
    <t>04/29-05/24</t>
  </si>
  <si>
    <t>04/11-05/09</t>
  </si>
  <si>
    <t>04/09-06/05</t>
  </si>
  <si>
    <t>05/24-06/25</t>
  </si>
  <si>
    <t>05/09-05/24</t>
  </si>
  <si>
    <t>06/05-07/05</t>
  </si>
  <si>
    <t>07/05-08/05</t>
  </si>
  <si>
    <t>08/05-09/04</t>
  </si>
  <si>
    <t>(C118 is truncated for reconcilliation)</t>
  </si>
  <si>
    <t>06/25-07/25</t>
  </si>
  <si>
    <t xml:space="preserve">CMWD invoice </t>
  </si>
  <si>
    <t>CMWD invoice</t>
  </si>
  <si>
    <t>08/23-09/24</t>
  </si>
  <si>
    <t>09/04-10/03</t>
  </si>
  <si>
    <t>10/03-11/04</t>
  </si>
  <si>
    <t>09/24-10/24</t>
  </si>
  <si>
    <t>10/24-11/22</t>
  </si>
  <si>
    <t>10/24-11/23</t>
  </si>
  <si>
    <t>2016</t>
  </si>
  <si>
    <t>11/23-12/26</t>
  </si>
  <si>
    <t>11/22-12/25</t>
  </si>
  <si>
    <t>11/04-12/05</t>
  </si>
  <si>
    <t>12/05-01/07</t>
  </si>
  <si>
    <t>2008</t>
  </si>
  <si>
    <t>*(28.5-28.5)</t>
  </si>
  <si>
    <t>*(39.0-39.0)</t>
  </si>
  <si>
    <t>*(160.4-160.4)</t>
  </si>
  <si>
    <t>*(247.0-173.3)</t>
  </si>
  <si>
    <t>FY05-06</t>
  </si>
  <si>
    <t>FY06-07</t>
  </si>
  <si>
    <t>FY07-08</t>
  </si>
  <si>
    <t>FY08-09</t>
  </si>
  <si>
    <t>FY09-10</t>
  </si>
  <si>
    <t>FY10-11</t>
  </si>
  <si>
    <t>FY11-12</t>
  </si>
  <si>
    <t>FY12-13</t>
  </si>
  <si>
    <t>FY13-14</t>
  </si>
  <si>
    <t>FY14-15</t>
  </si>
  <si>
    <t>FY15-16</t>
  </si>
  <si>
    <t>FY16-17</t>
  </si>
  <si>
    <t>FY17-18</t>
  </si>
  <si>
    <t>FY18-19</t>
  </si>
  <si>
    <t>FY19-20</t>
  </si>
  <si>
    <t>FY20-21</t>
  </si>
  <si>
    <t>FY21-22</t>
  </si>
  <si>
    <t>FY22-23</t>
  </si>
  <si>
    <t>FY02-03</t>
  </si>
  <si>
    <t>FY03-04</t>
  </si>
  <si>
    <t>FY04-05</t>
  </si>
  <si>
    <t>FY01-02</t>
  </si>
  <si>
    <t>FY94-95</t>
  </si>
  <si>
    <t>FY95-96</t>
  </si>
  <si>
    <t>FY96-97</t>
  </si>
  <si>
    <t>FY97-98</t>
  </si>
  <si>
    <t>FY98-99</t>
  </si>
  <si>
    <t>FY99-00</t>
  </si>
  <si>
    <t>FY00-01</t>
  </si>
  <si>
    <t>FY91-92</t>
  </si>
  <si>
    <t>FY92-93</t>
  </si>
  <si>
    <t>FY93-94</t>
  </si>
  <si>
    <t>12/26-1/27</t>
  </si>
  <si>
    <t>12/25-01/24</t>
  </si>
  <si>
    <t>01/07-02/05</t>
  </si>
  <si>
    <t>01/27-02/26</t>
  </si>
  <si>
    <t>02/05-03/07</t>
  </si>
  <si>
    <t>*(994.5-142)</t>
  </si>
  <si>
    <t>*(551.2-210)</t>
  </si>
  <si>
    <t>*760.2-198)</t>
  </si>
  <si>
    <t>03/07-04/08</t>
  </si>
  <si>
    <t>02/25-03/27</t>
  </si>
  <si>
    <t>02/26-03/28</t>
  </si>
  <si>
    <t>03/28-04/28</t>
  </si>
  <si>
    <t>04/08-05/07</t>
  </si>
  <si>
    <t>05/07-06/06</t>
  </si>
  <si>
    <t>04/28-05/28</t>
  </si>
  <si>
    <t>(invoice amt)</t>
  </si>
  <si>
    <t>06/06-07/08</t>
  </si>
  <si>
    <t>05/28-06/26</t>
  </si>
  <si>
    <t>03/27-04/28</t>
  </si>
  <si>
    <t>2015 AG</t>
  </si>
  <si>
    <t>06/26-07/28</t>
  </si>
  <si>
    <t>Dist 1 Local Production</t>
  </si>
  <si>
    <t>District 1 Imported</t>
  </si>
  <si>
    <t>District 1 Total Production</t>
  </si>
  <si>
    <t>07/28-08/26</t>
  </si>
  <si>
    <t>YTD %</t>
  </si>
  <si>
    <t>M-M %</t>
  </si>
  <si>
    <t>District 19 Total Production</t>
  </si>
  <si>
    <t>District 19 Imported</t>
  </si>
  <si>
    <t>Dist 19 Local Production</t>
  </si>
  <si>
    <t>LSCSD Production</t>
  </si>
  <si>
    <t>District 17 Production</t>
  </si>
  <si>
    <t>07/08-08/06</t>
  </si>
  <si>
    <t>08/06-09/05</t>
  </si>
  <si>
    <t>09/05-10/06</t>
  </si>
  <si>
    <t>08/26-09/25</t>
  </si>
  <si>
    <t>Walnut Cyn</t>
  </si>
  <si>
    <t>09/25-10/27</t>
  </si>
  <si>
    <t>10/06-11/05</t>
  </si>
  <si>
    <t>10/27-11/25</t>
  </si>
  <si>
    <t>11/05-12/08</t>
  </si>
  <si>
    <t>11/25-12/26</t>
  </si>
  <si>
    <t>10/24-11/25</t>
  </si>
  <si>
    <t>12/08-01/07</t>
  </si>
  <si>
    <t>1/27-2/26</t>
  </si>
  <si>
    <t>Balcom Canyon</t>
  </si>
  <si>
    <t>Balcom Cyn</t>
  </si>
  <si>
    <t>(charge/43560)</t>
  </si>
  <si>
    <t>VCWWD #38</t>
  </si>
  <si>
    <t>Simi Valley RTS &amp; CRC Charge for Dist 17</t>
  </si>
  <si>
    <t>Simi Valley Replacement of Facilities Charge for Dist 17</t>
  </si>
  <si>
    <t>Total Tier I Supply Rate (CMWD) for Dist 17</t>
  </si>
  <si>
    <t>Initial Base Demand(AF), Dist 38</t>
  </si>
  <si>
    <t>Initial Base Demand(AF), Dist 19</t>
  </si>
  <si>
    <t>Initial Base Demand (AF), Dist 1</t>
  </si>
  <si>
    <t>Tier 1 Water per Purchase Order  (AF), Dist 1</t>
  </si>
  <si>
    <t>Tier 1 Water per Purchase Order  (AF), Dist 19</t>
  </si>
  <si>
    <t>Tier 1 Water per Purchase Order (AF), Dist 38</t>
  </si>
  <si>
    <t>GMA Allocation (AF), Dist 1</t>
  </si>
  <si>
    <t>GMA Allocation (AF), Dist 19</t>
  </si>
  <si>
    <t>CMWD Readiness to Serve Charge (RTS) for Dist 1</t>
  </si>
  <si>
    <t>CMWD Readiness to Serve Charge (RTS) for Dist 19</t>
  </si>
  <si>
    <t>CMWD Readiness to Serve Charge (RTS) for Dist 38</t>
  </si>
  <si>
    <t>2016 AG</t>
  </si>
  <si>
    <t>11/25-12/28</t>
  </si>
  <si>
    <t>12/28-01/27</t>
  </si>
  <si>
    <t>1/7-2/5</t>
  </si>
  <si>
    <t>2/5-3/8</t>
  </si>
  <si>
    <t>2016-2: 1756.118</t>
  </si>
  <si>
    <t>Well 15 (HCF)</t>
  </si>
  <si>
    <t>Well 95 (HCF)</t>
  </si>
  <si>
    <t>Well 3 (HCF)</t>
  </si>
  <si>
    <t>Well 4 (100 GAL)</t>
  </si>
  <si>
    <t>3/8-4/7</t>
  </si>
  <si>
    <t>2/26-3/29</t>
  </si>
  <si>
    <t>3/29-4/27</t>
  </si>
  <si>
    <t>5/6-6/7</t>
  </si>
  <si>
    <t>4/7-5/6</t>
  </si>
  <si>
    <t>2016 YTD</t>
  </si>
  <si>
    <t>4/27-5/26</t>
  </si>
  <si>
    <t>6/7-7/7</t>
  </si>
  <si>
    <t>7/7-8/5</t>
  </si>
  <si>
    <t>5/26-6/27</t>
  </si>
  <si>
    <t>6/27-7/27</t>
  </si>
  <si>
    <t>7/27-8/25</t>
  </si>
  <si>
    <t>8/05-9/06</t>
  </si>
  <si>
    <t>8/25-9/26</t>
  </si>
  <si>
    <t>926-10/26</t>
  </si>
  <si>
    <t>9/26-10/25</t>
  </si>
  <si>
    <t>9/06-10/05</t>
  </si>
  <si>
    <t>10/05-11/04</t>
  </si>
  <si>
    <t xml:space="preserve">Monthly  Well  Production </t>
  </si>
  <si>
    <t>10/26-11/28</t>
  </si>
  <si>
    <t>11/28-12/27</t>
  </si>
  <si>
    <t>11/04-12/07</t>
  </si>
  <si>
    <t>12/07-01/06</t>
  </si>
  <si>
    <t>2017 AG</t>
  </si>
  <si>
    <t>12/27-01/26</t>
  </si>
  <si>
    <t>MWD Tier II Supply Rate -$295</t>
  </si>
  <si>
    <t>12/26-01/25</t>
  </si>
  <si>
    <t>01/26-02/27</t>
  </si>
  <si>
    <t>02/27-3/28</t>
  </si>
  <si>
    <t>02/24-03/27</t>
  </si>
  <si>
    <t>01/06-02/06</t>
  </si>
  <si>
    <t>02/06-03/08</t>
  </si>
  <si>
    <t>03/08-04/06</t>
  </si>
  <si>
    <t>03/27-04/26</t>
  </si>
  <si>
    <t>03/28-04/27</t>
  </si>
  <si>
    <t>04/27-05/26</t>
  </si>
  <si>
    <t>(Rate 1,300 / AF)</t>
  </si>
  <si>
    <t>04/06-05/08</t>
  </si>
  <si>
    <t>05/08-06/07</t>
  </si>
  <si>
    <t>06/07-07/07</t>
  </si>
  <si>
    <t>05/25-06/26</t>
  </si>
  <si>
    <t>05/26-06/27</t>
  </si>
  <si>
    <t>06/26-07/26</t>
  </si>
  <si>
    <t xml:space="preserve">Well 20 (100 GAL) </t>
  </si>
  <si>
    <t>07/07-08/07</t>
  </si>
  <si>
    <t>06/27-07/27</t>
  </si>
  <si>
    <t>Spring Cyn</t>
  </si>
  <si>
    <t>Well 20*</t>
  </si>
  <si>
    <t>08/07-09/06</t>
  </si>
  <si>
    <t>09/06-10/05</t>
  </si>
  <si>
    <t>08/25-09/26</t>
  </si>
  <si>
    <t>08/24-09/25</t>
  </si>
  <si>
    <t>2017 YTD</t>
  </si>
  <si>
    <t>10/05-11/03</t>
  </si>
  <si>
    <t>09/26-10/25</t>
  </si>
  <si>
    <t>09/25-10/24</t>
  </si>
  <si>
    <t>10/25-11/27</t>
  </si>
  <si>
    <t>11/03-12/06</t>
  </si>
  <si>
    <t>MWD Tier I Supply Rate+Surchg-$209/AF</t>
  </si>
  <si>
    <t>11/22-12/22</t>
  </si>
  <si>
    <t>12/06-01/05</t>
  </si>
  <si>
    <t>11/27-12/26</t>
  </si>
  <si>
    <t>2018 YTD</t>
  </si>
  <si>
    <t>2018 AG</t>
  </si>
  <si>
    <t>12/22-01/24</t>
  </si>
  <si>
    <t>01/05-02/05</t>
  </si>
  <si>
    <t>Tier I Charge  $1375/ AF</t>
  </si>
  <si>
    <t>Tier I Charge  $1375 / AF</t>
  </si>
  <si>
    <t>(Rate 1,375/ AF)</t>
  </si>
  <si>
    <t>01/24-02/23</t>
  </si>
  <si>
    <t>01/25-02/26</t>
  </si>
  <si>
    <t>02/23-03/26</t>
  </si>
  <si>
    <t>02/26-03/27</t>
  </si>
  <si>
    <t>03/07-04/06</t>
  </si>
  <si>
    <t>04/06-05/07</t>
  </si>
  <si>
    <t>03/26-04/25</t>
  </si>
  <si>
    <t>06/06-07/06</t>
  </si>
  <si>
    <t>05/24-06/26</t>
  </si>
  <si>
    <t>07/06-08/06</t>
  </si>
  <si>
    <t>Well 98 (100 GAL)</t>
  </si>
  <si>
    <t>06/26-07/25</t>
  </si>
  <si>
    <t>07/28-08/24</t>
  </si>
  <si>
    <t>Well 2 (100 GAL)</t>
  </si>
  <si>
    <t xml:space="preserve">Well 2 </t>
  </si>
  <si>
    <t>09/05-10/04</t>
  </si>
  <si>
    <t>10/04-11/02</t>
  </si>
  <si>
    <t>09/24-10/23</t>
  </si>
  <si>
    <t>11/02-12/05</t>
  </si>
  <si>
    <t>10/23-11/21</t>
  </si>
  <si>
    <t>MWD System Access Rate-$326/AF</t>
  </si>
  <si>
    <t>MWD Water Stewardship Rate-$69/AF</t>
  </si>
  <si>
    <t>MWD System Power Rate-$127/AF</t>
  </si>
  <si>
    <t>MWD Treatment Surcharge-$319/AF</t>
  </si>
  <si>
    <t>CMWD O&amp;M Surcharge-$79/AF</t>
  </si>
  <si>
    <t>CMWD Cap Const, Rate Def Surchg-$294/AF</t>
  </si>
  <si>
    <t>2019 RTS Charge</t>
  </si>
  <si>
    <t>11/26-12/26</t>
  </si>
  <si>
    <t>11/21-12/24</t>
  </si>
  <si>
    <t>TEA (1/1-6/30/19)</t>
  </si>
  <si>
    <t>TEA (7/1-12/31/19)</t>
  </si>
  <si>
    <t>2019 YTD</t>
  </si>
  <si>
    <t>12/05-01/05</t>
  </si>
  <si>
    <t>1/05-02/05</t>
  </si>
  <si>
    <t>2019 AG</t>
  </si>
  <si>
    <t>03/07-04/05</t>
  </si>
  <si>
    <t>04/05-05/07</t>
  </si>
  <si>
    <t>04/26-05/28</t>
  </si>
  <si>
    <t>04/26-05/24</t>
  </si>
  <si>
    <t>Prior Months electric</t>
  </si>
  <si>
    <t>07/26-08/26</t>
  </si>
  <si>
    <t>07/26-8/27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</si>
</sst>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"/>
    <numFmt numFmtId="166" formatCode="#,##0.0"/>
    <numFmt numFmtId="167" formatCode="&quot;$&quot;#,##0.00"/>
    <numFmt numFmtId="168" formatCode="mm/dd/yy"/>
    <numFmt numFmtId="169" formatCode="0.0000000"/>
    <numFmt numFmtId="170" formatCode="0.0%"/>
    <numFmt numFmtId="171" formatCode="mmmm\ yyyy"/>
    <numFmt numFmtId="172" formatCode="#,##0.000"/>
    <numFmt numFmtId="173" formatCode="0.000000"/>
    <numFmt numFmtId="174" formatCode="0.00000"/>
    <numFmt numFmtId="175" formatCode="0.00000000"/>
    <numFmt numFmtId="176" formatCode="[$-409]mmmmm;@"/>
    <numFmt numFmtId="177" formatCode="[$-409]mmm\-yy;@"/>
    <numFmt numFmtId="178" formatCode="0.0000"/>
    <numFmt numFmtId="179" formatCode="#,##0.00000000"/>
  </numFmts>
  <fonts count="131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6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2"/>
      <color indexed="20"/>
      <name val="Arial"/>
      <family val="2"/>
    </font>
    <font>
      <b/>
      <sz val="12"/>
      <color indexed="48"/>
      <name val="Arial"/>
      <family val="2"/>
    </font>
    <font>
      <b/>
      <sz val="14"/>
      <color indexed="10"/>
      <name val="Arial"/>
      <family val="2"/>
    </font>
    <font>
      <i/>
      <sz val="8"/>
      <name val="Arial"/>
      <family val="2"/>
    </font>
    <font>
      <b/>
      <sz val="18"/>
      <name val="Arial"/>
      <family val="2"/>
    </font>
    <font>
      <sz val="12"/>
      <color indexed="10"/>
      <name val="Arial"/>
      <family val="2"/>
    </font>
    <font>
      <b/>
      <i/>
      <sz val="8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sz val="11"/>
      <name val="Times New Roman"/>
      <family val="1"/>
    </font>
    <font>
      <sz val="12"/>
      <color indexed="12"/>
      <name val="Arial"/>
      <family val="2"/>
    </font>
    <font>
      <i/>
      <sz val="12"/>
      <color indexed="12"/>
      <name val="Arial"/>
      <family val="2"/>
    </font>
    <font>
      <i/>
      <sz val="11"/>
      <name val="Arial"/>
      <family val="2"/>
    </font>
    <font>
      <i/>
      <sz val="10"/>
      <color indexed="12"/>
      <name val="Arial"/>
      <family val="2"/>
    </font>
    <font>
      <b/>
      <sz val="12"/>
      <color indexed="12"/>
      <name val="Arial"/>
      <family val="2"/>
    </font>
    <font>
      <sz val="12"/>
      <name val="Times New Roman"/>
      <family val="1"/>
    </font>
    <font>
      <sz val="10"/>
      <color indexed="12"/>
      <name val="Arial"/>
      <family val="2"/>
    </font>
    <font>
      <sz val="11"/>
      <color indexed="12"/>
      <name val="Arial"/>
      <family val="2"/>
    </font>
    <font>
      <b/>
      <sz val="14"/>
      <color indexed="12"/>
      <name val="Arial"/>
      <family val="2"/>
    </font>
    <font>
      <b/>
      <sz val="14"/>
      <color indexed="20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i/>
      <sz val="12"/>
      <color indexed="20"/>
      <name val="Arial"/>
      <family val="2"/>
    </font>
    <font>
      <sz val="11"/>
      <color indexed="20"/>
      <name val="Arial"/>
      <family val="2"/>
    </font>
    <font>
      <sz val="8"/>
      <color indexed="12"/>
      <name val="Arial"/>
      <family val="2"/>
    </font>
    <font>
      <sz val="8"/>
      <color indexed="20"/>
      <name val="Arial"/>
      <family val="2"/>
    </font>
    <font>
      <b/>
      <sz val="8"/>
      <color indexed="12"/>
      <name val="Arial"/>
      <family val="2"/>
    </font>
    <font>
      <b/>
      <sz val="16"/>
      <color indexed="20"/>
      <name val="Arial"/>
      <family val="2"/>
    </font>
    <font>
      <sz val="12"/>
      <color indexed="61"/>
      <name val="Arial"/>
      <family val="2"/>
    </font>
    <font>
      <sz val="10"/>
      <color indexed="61"/>
      <name val="Arial"/>
      <family val="2"/>
    </font>
    <font>
      <b/>
      <i/>
      <sz val="12"/>
      <name val="Arial"/>
      <family val="2"/>
    </font>
    <font>
      <b/>
      <i/>
      <sz val="14"/>
      <name val="Arial"/>
      <family val="2"/>
    </font>
    <font>
      <b/>
      <sz val="24"/>
      <color indexed="9"/>
      <name val="Arial"/>
      <family val="2"/>
    </font>
    <font>
      <sz val="12"/>
      <color indexed="16"/>
      <name val="Arial"/>
      <family val="2"/>
    </font>
    <font>
      <b/>
      <i/>
      <sz val="11"/>
      <name val="Arial"/>
      <family val="2"/>
    </font>
    <font>
      <sz val="12"/>
      <color indexed="23"/>
      <name val="Arial"/>
      <family val="2"/>
    </font>
    <font>
      <b/>
      <i/>
      <sz val="16"/>
      <name val="Arial"/>
      <family val="2"/>
    </font>
    <font>
      <b/>
      <i/>
      <sz val="14"/>
      <color indexed="12"/>
      <name val="Arial"/>
      <family val="2"/>
    </font>
    <font>
      <sz val="12"/>
      <color indexed="8"/>
      <name val="Arial"/>
      <family val="2"/>
    </font>
    <font>
      <b/>
      <sz val="8"/>
      <color indexed="9"/>
      <name val="Arial"/>
      <family val="2"/>
    </font>
    <font>
      <b/>
      <sz val="14"/>
      <color indexed="9"/>
      <name val="Arial"/>
      <family val="2"/>
    </font>
    <font>
      <sz val="10"/>
      <color indexed="10"/>
      <name val="Arial"/>
      <family val="2"/>
    </font>
    <font>
      <b/>
      <sz val="12"/>
      <name val="Times New Roman"/>
      <family val="1"/>
    </font>
    <font>
      <b/>
      <i/>
      <sz val="8"/>
      <color indexed="14"/>
      <name val="Arial"/>
      <family val="2"/>
    </font>
    <font>
      <i/>
      <sz val="8"/>
      <color indexed="14"/>
      <name val="Arial"/>
      <family val="2"/>
    </font>
    <font>
      <sz val="8"/>
      <name val="Times New Roman"/>
      <family val="1"/>
    </font>
    <font>
      <b/>
      <i/>
      <sz val="10"/>
      <name val="Arial"/>
      <family val="2"/>
    </font>
    <font>
      <sz val="12"/>
      <color indexed="48"/>
      <name val="Arial"/>
      <family val="2"/>
    </font>
    <font>
      <sz val="14"/>
      <color indexed="12"/>
      <name val="Arial"/>
      <family val="2"/>
    </font>
    <font>
      <sz val="14"/>
      <color indexed="56"/>
      <name val="Arial"/>
      <family val="2"/>
    </font>
    <font>
      <sz val="12"/>
      <color indexed="56"/>
      <name val="Arial"/>
      <family val="2"/>
    </font>
    <font>
      <b/>
      <sz val="12"/>
      <color indexed="56"/>
      <name val="Arial"/>
      <family val="2"/>
    </font>
    <font>
      <b/>
      <sz val="14"/>
      <color indexed="16"/>
      <name val="Arial"/>
      <family val="2"/>
    </font>
    <font>
      <b/>
      <sz val="12"/>
      <color indexed="16"/>
      <name val="Arial"/>
      <family val="2"/>
    </font>
    <font>
      <b/>
      <sz val="10"/>
      <color indexed="16"/>
      <name val="Arial"/>
      <family val="2"/>
    </font>
    <font>
      <sz val="11"/>
      <color indexed="16"/>
      <name val="Arial"/>
      <family val="2"/>
    </font>
    <font>
      <sz val="10"/>
      <color indexed="16"/>
      <name val="Arial"/>
      <family val="2"/>
    </font>
    <font>
      <sz val="9"/>
      <color indexed="16"/>
      <name val="Arial"/>
      <family val="2"/>
    </font>
    <font>
      <i/>
      <sz val="12"/>
      <color indexed="16"/>
      <name val="Arial"/>
      <family val="2"/>
    </font>
    <font>
      <b/>
      <sz val="11"/>
      <color indexed="16"/>
      <name val="Arial"/>
      <family val="2"/>
    </font>
    <font>
      <b/>
      <sz val="9"/>
      <color indexed="16"/>
      <name val="Arial"/>
      <family val="2"/>
    </font>
    <font>
      <b/>
      <sz val="16"/>
      <color indexed="16"/>
      <name val="Arial"/>
      <family val="2"/>
    </font>
    <font>
      <b/>
      <sz val="22"/>
      <color indexed="12"/>
      <name val="Arial"/>
      <family val="2"/>
    </font>
    <font>
      <sz val="11"/>
      <color indexed="8"/>
      <name val="Arial"/>
      <family val="2"/>
    </font>
    <font>
      <b/>
      <sz val="14"/>
      <color indexed="48"/>
      <name val="Arial"/>
      <family val="2"/>
    </font>
    <font>
      <b/>
      <sz val="14"/>
      <color theme="5" tint="-0.499984740745262"/>
      <name val="Arial"/>
      <family val="2"/>
    </font>
    <font>
      <b/>
      <sz val="12"/>
      <color theme="5" tint="-0.499984740745262"/>
      <name val="Arial"/>
      <family val="2"/>
    </font>
    <font>
      <sz val="12"/>
      <color theme="4"/>
      <name val="Arial"/>
      <family val="2"/>
    </font>
    <font>
      <sz val="12"/>
      <color theme="7"/>
      <name val="Arial"/>
      <family val="2"/>
    </font>
    <font>
      <b/>
      <sz val="14"/>
      <color theme="0"/>
      <name val="Arial"/>
      <family val="2"/>
    </font>
    <font>
      <b/>
      <sz val="12"/>
      <color theme="2" tint="-0.499984740745262"/>
      <name val="Arial"/>
      <family val="2"/>
    </font>
    <font>
      <sz val="12"/>
      <color theme="2" tint="-0.499984740745262"/>
      <name val="Arial"/>
      <family val="2"/>
    </font>
    <font>
      <i/>
      <sz val="8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b/>
      <sz val="14"/>
      <color theme="2" tint="-0.49998474074526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b/>
      <sz val="10"/>
      <color theme="5" tint="-0.249977111117893"/>
      <name val="Arial"/>
      <family val="2"/>
    </font>
    <font>
      <b/>
      <sz val="14"/>
      <color theme="5" tint="-0.249977111117893"/>
      <name val="Arial"/>
      <family val="2"/>
    </font>
    <font>
      <b/>
      <sz val="11"/>
      <color theme="5" tint="-0.249977111117893"/>
      <name val="Arial"/>
      <family val="2"/>
    </font>
    <font>
      <sz val="14"/>
      <color rgb="FF143CAC"/>
      <name val="Arial"/>
      <family val="2"/>
    </font>
    <font>
      <sz val="10"/>
      <color rgb="FF0000FF"/>
      <name val="Arial"/>
      <family val="2"/>
    </font>
    <font>
      <b/>
      <sz val="14"/>
      <color rgb="FF0000FF"/>
      <name val="Arial"/>
      <family val="2"/>
    </font>
    <font>
      <b/>
      <sz val="14"/>
      <color theme="1"/>
      <name val="Arial"/>
      <family val="2"/>
    </font>
    <font>
      <sz val="10"/>
      <color indexed="56"/>
      <name val="Arial"/>
      <family val="2"/>
    </font>
    <font>
      <sz val="10"/>
      <color theme="9" tint="-0.499984740745262"/>
      <name val="Arial"/>
      <family val="2"/>
    </font>
    <font>
      <b/>
      <strike/>
      <sz val="12"/>
      <color theme="0"/>
      <name val="Arial"/>
      <family val="2"/>
    </font>
    <font>
      <b/>
      <strike/>
      <sz val="14"/>
      <color theme="0"/>
      <name val="Arial"/>
      <family val="2"/>
    </font>
    <font>
      <strike/>
      <sz val="14"/>
      <color theme="0"/>
      <name val="Arial"/>
      <family val="2"/>
    </font>
    <font>
      <strike/>
      <sz val="12"/>
      <color theme="0"/>
      <name val="Arial"/>
      <family val="2"/>
    </font>
    <font>
      <sz val="12"/>
      <name val="Times New Roman"/>
      <family val="1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Times New Roman"/>
      <family val="1"/>
    </font>
    <font>
      <i/>
      <sz val="12"/>
      <color theme="0" tint="-0.34998626667073579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b/>
      <sz val="6"/>
      <color indexed="2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98" fillId="0" borderId="0"/>
    <xf numFmtId="9" fontId="115" fillId="0" borderId="0" applyFont="0" applyFill="0" applyBorder="0" applyAlignment="0" applyProtection="0"/>
    <xf numFmtId="44" fontId="120" fillId="0" borderId="0" applyFont="0" applyFill="0" applyBorder="0" applyAlignment="0" applyProtection="0"/>
    <xf numFmtId="0" fontId="1" fillId="0" borderId="0"/>
  </cellStyleXfs>
  <cellXfs count="172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2" fontId="4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4" fillId="0" borderId="0" xfId="0" applyFont="1" applyAlignment="1">
      <alignment horizontal="centerContinuous"/>
    </xf>
    <xf numFmtId="0" fontId="4" fillId="0" borderId="0" xfId="0" applyFont="1" applyAlignment="1"/>
    <xf numFmtId="0" fontId="7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1" xfId="0" applyFont="1" applyBorder="1"/>
    <xf numFmtId="164" fontId="4" fillId="0" borderId="0" xfId="0" applyNumberFormat="1" applyFont="1"/>
    <xf numFmtId="0" fontId="10" fillId="0" borderId="0" xfId="0" applyFont="1"/>
    <xf numFmtId="0" fontId="3" fillId="0" borderId="0" xfId="0" applyFont="1" applyAlignment="1"/>
    <xf numFmtId="0" fontId="11" fillId="0" borderId="0" xfId="0" applyFont="1"/>
    <xf numFmtId="0" fontId="3" fillId="0" borderId="0" xfId="0" applyFont="1" applyAlignment="1">
      <alignment horizontal="centerContinuous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wrapText="1"/>
    </xf>
    <xf numFmtId="4" fontId="11" fillId="0" borderId="1" xfId="0" applyNumberFormat="1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7" fontId="3" fillId="0" borderId="0" xfId="0" applyNumberFormat="1" applyFont="1"/>
    <xf numFmtId="0" fontId="11" fillId="0" borderId="0" xfId="0" applyFont="1" applyBorder="1"/>
    <xf numFmtId="2" fontId="18" fillId="0" borderId="0" xfId="0" applyNumberFormat="1" applyFont="1" applyBorder="1"/>
    <xf numFmtId="0" fontId="4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2" fontId="11" fillId="0" borderId="0" xfId="0" applyNumberFormat="1" applyFont="1" applyBorder="1"/>
    <xf numFmtId="0" fontId="11" fillId="0" borderId="1" xfId="0" applyFont="1" applyBorder="1"/>
    <xf numFmtId="0" fontId="4" fillId="0" borderId="0" xfId="0" applyFont="1" applyBorder="1" applyAlignment="1"/>
    <xf numFmtId="1" fontId="3" fillId="0" borderId="0" xfId="0" applyNumberFormat="1" applyFont="1" applyAlignment="1">
      <alignment horizontal="center"/>
    </xf>
    <xf numFmtId="17" fontId="3" fillId="0" borderId="0" xfId="0" quotePrefix="1" applyNumberFormat="1" applyFont="1"/>
    <xf numFmtId="0" fontId="3" fillId="0" borderId="2" xfId="0" applyFont="1" applyBorder="1"/>
    <xf numFmtId="0" fontId="4" fillId="0" borderId="3" xfId="0" applyFont="1" applyBorder="1"/>
    <xf numFmtId="0" fontId="3" fillId="0" borderId="3" xfId="0" quotePrefix="1" applyFont="1" applyBorder="1"/>
    <xf numFmtId="0" fontId="3" fillId="0" borderId="3" xfId="0" applyFont="1" applyBorder="1"/>
    <xf numFmtId="0" fontId="4" fillId="0" borderId="4" xfId="0" applyFont="1" applyBorder="1"/>
    <xf numFmtId="2" fontId="3" fillId="0" borderId="0" xfId="0" applyNumberFormat="1" applyFont="1" applyAlignment="1">
      <alignment horizontal="right"/>
    </xf>
    <xf numFmtId="0" fontId="3" fillId="0" borderId="5" xfId="0" applyFont="1" applyBorder="1"/>
    <xf numFmtId="164" fontId="4" fillId="0" borderId="0" xfId="0" applyNumberFormat="1" applyFont="1" applyBorder="1"/>
    <xf numFmtId="0" fontId="4" fillId="0" borderId="5" xfId="0" applyFont="1" applyBorder="1"/>
    <xf numFmtId="0" fontId="4" fillId="0" borderId="0" xfId="0" applyFont="1" applyBorder="1" applyAlignment="1">
      <alignment horizontal="center"/>
    </xf>
    <xf numFmtId="0" fontId="10" fillId="0" borderId="0" xfId="0" applyFont="1" applyAlignment="1">
      <alignment horizontal="centerContinuous"/>
    </xf>
    <xf numFmtId="0" fontId="4" fillId="0" borderId="6" xfId="0" applyFont="1" applyBorder="1"/>
    <xf numFmtId="4" fontId="4" fillId="0" borderId="0" xfId="0" applyNumberFormat="1" applyFont="1" applyBorder="1"/>
    <xf numFmtId="0" fontId="4" fillId="0" borderId="7" xfId="0" applyFont="1" applyBorder="1"/>
    <xf numFmtId="0" fontId="12" fillId="0" borderId="1" xfId="0" applyFont="1" applyBorder="1" applyAlignment="1">
      <alignment horizontal="center"/>
    </xf>
    <xf numFmtId="164" fontId="4" fillId="0" borderId="0" xfId="0" applyNumberFormat="1" applyFont="1" applyFill="1" applyBorder="1"/>
    <xf numFmtId="0" fontId="4" fillId="0" borderId="0" xfId="0" applyFont="1" applyFill="1" applyBorder="1"/>
    <xf numFmtId="0" fontId="11" fillId="0" borderId="0" xfId="0" applyFont="1" applyFill="1"/>
    <xf numFmtId="0" fontId="11" fillId="0" borderId="0" xfId="0" applyFont="1" applyFill="1" applyBorder="1"/>
    <xf numFmtId="164" fontId="18" fillId="0" borderId="1" xfId="0" applyNumberFormat="1" applyFont="1" applyFill="1" applyBorder="1"/>
    <xf numFmtId="0" fontId="3" fillId="0" borderId="0" xfId="0" quotePrefix="1" applyFont="1" applyBorder="1"/>
    <xf numFmtId="0" fontId="11" fillId="0" borderId="5" xfId="0" applyFont="1" applyBorder="1"/>
    <xf numFmtId="1" fontId="4" fillId="0" borderId="0" xfId="0" applyNumberFormat="1" applyFont="1" applyBorder="1" applyAlignment="1">
      <alignment horizontal="center"/>
    </xf>
    <xf numFmtId="0" fontId="7" fillId="0" borderId="1" xfId="0" applyFont="1" applyBorder="1"/>
    <xf numFmtId="0" fontId="10" fillId="0" borderId="1" xfId="0" applyFont="1" applyBorder="1"/>
    <xf numFmtId="0" fontId="12" fillId="0" borderId="5" xfId="0" applyFont="1" applyBorder="1" applyAlignment="1">
      <alignment horizontal="center"/>
    </xf>
    <xf numFmtId="4" fontId="11" fillId="0" borderId="0" xfId="0" applyNumberFormat="1" applyFont="1" applyBorder="1"/>
    <xf numFmtId="4" fontId="12" fillId="0" borderId="0" xfId="0" applyNumberFormat="1" applyFont="1" applyBorder="1"/>
    <xf numFmtId="0" fontId="3" fillId="0" borderId="8" xfId="0" applyFont="1" applyBorder="1"/>
    <xf numFmtId="0" fontId="3" fillId="0" borderId="9" xfId="0" applyFont="1" applyBorder="1"/>
    <xf numFmtId="0" fontId="7" fillId="0" borderId="0" xfId="0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2" fontId="12" fillId="0" borderId="1" xfId="0" applyNumberFormat="1" applyFont="1" applyBorder="1" applyAlignment="1">
      <alignment horizontal="right"/>
    </xf>
    <xf numFmtId="166" fontId="11" fillId="0" borderId="1" xfId="0" applyNumberFormat="1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right"/>
    </xf>
    <xf numFmtId="0" fontId="3" fillId="0" borderId="0" xfId="0" quotePrefix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4" fontId="11" fillId="0" borderId="0" xfId="0" applyNumberFormat="1" applyFont="1" applyBorder="1" applyAlignment="1">
      <alignment horizontal="right"/>
    </xf>
    <xf numFmtId="0" fontId="12" fillId="0" borderId="0" xfId="0" applyFont="1" applyBorder="1"/>
    <xf numFmtId="166" fontId="11" fillId="0" borderId="0" xfId="0" applyNumberFormat="1" applyFont="1" applyBorder="1" applyAlignment="1">
      <alignment horizontal="right"/>
    </xf>
    <xf numFmtId="4" fontId="11" fillId="0" borderId="0" xfId="0" quotePrefix="1" applyNumberFormat="1" applyFont="1" applyBorder="1" applyAlignment="1">
      <alignment horizontal="right"/>
    </xf>
    <xf numFmtId="4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2" fontId="12" fillId="0" borderId="0" xfId="0" applyNumberFormat="1" applyFont="1" applyBorder="1" applyAlignment="1">
      <alignment horizontal="right"/>
    </xf>
    <xf numFmtId="4" fontId="25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164" fontId="11" fillId="0" borderId="0" xfId="0" applyNumberFormat="1" applyFont="1" applyFill="1" applyBorder="1"/>
    <xf numFmtId="0" fontId="14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7" fillId="0" borderId="0" xfId="0" quotePrefix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4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4" fillId="0" borderId="10" xfId="0" applyFont="1" applyBorder="1" applyAlignment="1">
      <alignment horizontal="center" wrapText="1"/>
    </xf>
    <xf numFmtId="0" fontId="12" fillId="0" borderId="10" xfId="0" applyFont="1" applyBorder="1" applyAlignment="1">
      <alignment horizontal="center"/>
    </xf>
    <xf numFmtId="164" fontId="4" fillId="0" borderId="1" xfId="0" applyNumberFormat="1" applyFont="1" applyFill="1" applyBorder="1"/>
    <xf numFmtId="4" fontId="12" fillId="0" borderId="1" xfId="0" applyNumberFormat="1" applyFont="1" applyBorder="1"/>
    <xf numFmtId="1" fontId="4" fillId="0" borderId="0" xfId="0" applyNumberFormat="1" applyFont="1" applyAlignment="1"/>
    <xf numFmtId="0" fontId="4" fillId="0" borderId="1" xfId="0" applyFont="1" applyBorder="1" applyAlignment="1"/>
    <xf numFmtId="164" fontId="4" fillId="0" borderId="0" xfId="0" applyNumberFormat="1" applyFont="1" applyFill="1"/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0" fontId="11" fillId="0" borderId="0" xfId="0" applyFont="1" applyFill="1" applyAlignment="1">
      <alignment horizontal="center"/>
    </xf>
    <xf numFmtId="164" fontId="18" fillId="0" borderId="0" xfId="0" applyNumberFormat="1" applyFont="1" applyBorder="1"/>
    <xf numFmtId="166" fontId="11" fillId="0" borderId="0" xfId="0" applyNumberFormat="1" applyFont="1" applyBorder="1"/>
    <xf numFmtId="166" fontId="11" fillId="0" borderId="1" xfId="0" applyNumberFormat="1" applyFont="1" applyBorder="1"/>
    <xf numFmtId="164" fontId="11" fillId="0" borderId="0" xfId="0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164" fontId="12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66" fontId="11" fillId="0" borderId="0" xfId="0" applyNumberFormat="1" applyFont="1" applyFill="1" applyBorder="1"/>
    <xf numFmtId="0" fontId="16" fillId="0" borderId="0" xfId="0" applyFont="1" applyBorder="1" applyAlignment="1">
      <alignment horizontal="left"/>
    </xf>
    <xf numFmtId="0" fontId="14" fillId="0" borderId="10" xfId="0" applyFont="1" applyBorder="1" applyAlignment="1">
      <alignment horizontal="left" wrapText="1"/>
    </xf>
    <xf numFmtId="4" fontId="28" fillId="0" borderId="0" xfId="0" applyNumberFormat="1" applyFont="1" applyBorder="1"/>
    <xf numFmtId="0" fontId="25" fillId="0" borderId="0" xfId="0" applyFont="1" applyBorder="1"/>
    <xf numFmtId="4" fontId="28" fillId="0" borderId="0" xfId="0" applyNumberFormat="1" applyFont="1" applyBorder="1" applyAlignment="1">
      <alignment horizontal="center"/>
    </xf>
    <xf numFmtId="4" fontId="28" fillId="0" borderId="1" xfId="0" applyNumberFormat="1" applyFont="1" applyBorder="1"/>
    <xf numFmtId="4" fontId="28" fillId="0" borderId="1" xfId="0" applyNumberFormat="1" applyFont="1" applyBorder="1" applyAlignment="1">
      <alignment horizontal="center"/>
    </xf>
    <xf numFmtId="49" fontId="25" fillId="0" borderId="0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2" fontId="11" fillId="0" borderId="1" xfId="0" applyNumberFormat="1" applyFont="1" applyBorder="1"/>
    <xf numFmtId="164" fontId="11" fillId="0" borderId="1" xfId="0" applyNumberFormat="1" applyFont="1" applyFill="1" applyBorder="1"/>
    <xf numFmtId="4" fontId="11" fillId="0" borderId="1" xfId="0" quotePrefix="1" applyNumberFormat="1" applyFont="1" applyBorder="1" applyAlignment="1">
      <alignment horizontal="right"/>
    </xf>
    <xf numFmtId="14" fontId="25" fillId="0" borderId="0" xfId="0" applyNumberFormat="1" applyFont="1" applyBorder="1" applyAlignment="1">
      <alignment horizontal="center"/>
    </xf>
    <xf numFmtId="4" fontId="4" fillId="0" borderId="0" xfId="0" applyNumberFormat="1" applyFont="1"/>
    <xf numFmtId="166" fontId="12" fillId="0" borderId="0" xfId="0" applyNumberFormat="1" applyFont="1" applyBorder="1" applyAlignment="1">
      <alignment horizontal="right"/>
    </xf>
    <xf numFmtId="4" fontId="11" fillId="0" borderId="0" xfId="0" applyNumberFormat="1" applyFont="1" applyBorder="1" applyAlignment="1"/>
    <xf numFmtId="166" fontId="4" fillId="0" borderId="0" xfId="0" applyNumberFormat="1" applyFont="1" applyFill="1"/>
    <xf numFmtId="166" fontId="3" fillId="0" borderId="0" xfId="0" applyNumberFormat="1" applyFont="1" applyFill="1"/>
    <xf numFmtId="0" fontId="3" fillId="0" borderId="0" xfId="0" applyFont="1" applyFill="1" applyAlignment="1">
      <alignment horizontal="right"/>
    </xf>
    <xf numFmtId="166" fontId="4" fillId="0" borderId="0" xfId="0" applyNumberFormat="1" applyFont="1" applyFill="1" applyBorder="1"/>
    <xf numFmtId="0" fontId="29" fillId="0" borderId="0" xfId="0" applyFont="1" applyBorder="1" applyAlignment="1">
      <alignment horizontal="left"/>
    </xf>
    <xf numFmtId="166" fontId="3" fillId="0" borderId="0" xfId="0" applyNumberFormat="1" applyFont="1" applyFill="1" applyBorder="1" applyAlignment="1">
      <alignment horizontal="right"/>
    </xf>
    <xf numFmtId="164" fontId="4" fillId="0" borderId="5" xfId="0" applyNumberFormat="1" applyFont="1" applyFill="1" applyBorder="1"/>
    <xf numFmtId="164" fontId="4" fillId="0" borderId="10" xfId="0" applyNumberFormat="1" applyFont="1" applyFill="1" applyBorder="1"/>
    <xf numFmtId="0" fontId="18" fillId="0" borderId="0" xfId="0" applyNumberFormat="1" applyFont="1" applyBorder="1"/>
    <xf numFmtId="0" fontId="18" fillId="0" borderId="0" xfId="0" applyNumberFormat="1" applyFont="1" applyBorder="1" applyAlignment="1">
      <alignment horizontal="center"/>
    </xf>
    <xf numFmtId="49" fontId="18" fillId="0" borderId="0" xfId="0" applyNumberFormat="1" applyFont="1" applyBorder="1"/>
    <xf numFmtId="1" fontId="18" fillId="0" borderId="0" xfId="0" applyNumberFormat="1" applyFont="1" applyBorder="1" applyAlignment="1">
      <alignment horizontal="left"/>
    </xf>
    <xf numFmtId="0" fontId="31" fillId="0" borderId="0" xfId="0" applyNumberFormat="1" applyFont="1"/>
    <xf numFmtId="164" fontId="18" fillId="0" borderId="0" xfId="0" applyNumberFormat="1" applyFont="1" applyBorder="1" applyAlignment="1">
      <alignment horizontal="center"/>
    </xf>
    <xf numFmtId="164" fontId="18" fillId="0" borderId="0" xfId="0" applyNumberFormat="1" applyFont="1" applyBorder="1" applyAlignment="1">
      <alignment horizontal="left"/>
    </xf>
    <xf numFmtId="171" fontId="18" fillId="0" borderId="0" xfId="0" applyNumberFormat="1" applyFont="1" applyBorder="1" applyAlignment="1">
      <alignment horizontal="center"/>
    </xf>
    <xf numFmtId="0" fontId="31" fillId="0" borderId="0" xfId="0" applyNumberFormat="1" applyFont="1" applyAlignment="1">
      <alignment horizontal="center"/>
    </xf>
    <xf numFmtId="0" fontId="3" fillId="0" borderId="0" xfId="0" applyFont="1" applyFill="1" applyBorder="1"/>
    <xf numFmtId="0" fontId="7" fillId="0" borderId="0" xfId="0" applyFont="1" applyAlignment="1">
      <alignment horizontal="center"/>
    </xf>
    <xf numFmtId="0" fontId="4" fillId="3" borderId="0" xfId="0" applyFont="1" applyFill="1" applyBorder="1"/>
    <xf numFmtId="2" fontId="7" fillId="0" borderId="0" xfId="0" applyNumberFormat="1" applyFont="1" applyAlignment="1">
      <alignment horizontal="centerContinuous"/>
    </xf>
    <xf numFmtId="17" fontId="17" fillId="0" borderId="0" xfId="0" applyNumberFormat="1" applyFont="1" applyFill="1"/>
    <xf numFmtId="166" fontId="17" fillId="0" borderId="0" xfId="0" applyNumberFormat="1" applyFont="1" applyFill="1" applyAlignment="1">
      <alignment horizontal="right"/>
    </xf>
    <xf numFmtId="1" fontId="4" fillId="0" borderId="0" xfId="0" applyNumberFormat="1" applyFont="1" applyBorder="1" applyAlignment="1"/>
    <xf numFmtId="0" fontId="3" fillId="0" borderId="0" xfId="0" applyFont="1" applyBorder="1" applyAlignment="1">
      <alignment horizontal="left"/>
    </xf>
    <xf numFmtId="0" fontId="27" fillId="0" borderId="0" xfId="0" applyFont="1"/>
    <xf numFmtId="164" fontId="3" fillId="0" borderId="0" xfId="0" applyNumberFormat="1" applyFont="1" applyAlignment="1">
      <alignment horizontal="left"/>
    </xf>
    <xf numFmtId="2" fontId="4" fillId="0" borderId="0" xfId="0" applyNumberFormat="1" applyFont="1" applyFill="1" applyBorder="1"/>
    <xf numFmtId="166" fontId="4" fillId="0" borderId="0" xfId="0" applyNumberFormat="1" applyFont="1" applyBorder="1"/>
    <xf numFmtId="4" fontId="18" fillId="0" borderId="0" xfId="0" applyNumberFormat="1" applyFont="1" applyBorder="1"/>
    <xf numFmtId="167" fontId="4" fillId="0" borderId="0" xfId="0" applyNumberFormat="1" applyFont="1" applyBorder="1" applyAlignment="1">
      <alignment horizontal="center"/>
    </xf>
    <xf numFmtId="0" fontId="33" fillId="0" borderId="0" xfId="0" applyFont="1" applyFill="1"/>
    <xf numFmtId="164" fontId="20" fillId="0" borderId="0" xfId="0" applyNumberFormat="1" applyFont="1" applyAlignment="1">
      <alignment horizontal="right" vertical="top"/>
    </xf>
    <xf numFmtId="0" fontId="35" fillId="0" borderId="0" xfId="0" applyFont="1" applyFill="1"/>
    <xf numFmtId="0" fontId="15" fillId="0" borderId="0" xfId="0" applyFont="1" applyFill="1"/>
    <xf numFmtId="164" fontId="11" fillId="0" borderId="0" xfId="0" applyNumberFormat="1" applyFont="1" applyFill="1"/>
    <xf numFmtId="3" fontId="4" fillId="0" borderId="0" xfId="0" applyNumberFormat="1" applyFont="1" applyFill="1" applyBorder="1" applyAlignment="1">
      <alignment horizontal="right"/>
    </xf>
    <xf numFmtId="4" fontId="25" fillId="0" borderId="0" xfId="0" applyNumberFormat="1" applyFont="1" applyBorder="1" applyAlignment="1">
      <alignment horizontal="right"/>
    </xf>
    <xf numFmtId="164" fontId="25" fillId="0" borderId="0" xfId="0" applyNumberFormat="1" applyFont="1" applyBorder="1" applyAlignment="1">
      <alignment horizontal="right"/>
    </xf>
    <xf numFmtId="164" fontId="25" fillId="0" borderId="1" xfId="0" applyNumberFormat="1" applyFont="1" applyBorder="1" applyAlignment="1">
      <alignment horizontal="right"/>
    </xf>
    <xf numFmtId="3" fontId="3" fillId="0" borderId="0" xfId="0" applyNumberFormat="1" applyFont="1" applyBorder="1"/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37" fillId="0" borderId="0" xfId="0" applyNumberFormat="1" applyFont="1" applyAlignment="1"/>
    <xf numFmtId="0" fontId="11" fillId="0" borderId="0" xfId="0" applyFont="1" applyFill="1" applyBorder="1" applyAlignment="1">
      <alignment horizontal="right"/>
    </xf>
    <xf numFmtId="3" fontId="4" fillId="0" borderId="0" xfId="0" applyNumberFormat="1" applyFont="1" applyFill="1" applyBorder="1"/>
    <xf numFmtId="3" fontId="3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64" fontId="3" fillId="0" borderId="0" xfId="0" applyNumberFormat="1" applyFont="1" applyFill="1" applyBorder="1"/>
    <xf numFmtId="1" fontId="4" fillId="0" borderId="0" xfId="0" applyNumberFormat="1" applyFont="1" applyFill="1" applyBorder="1"/>
    <xf numFmtId="0" fontId="4" fillId="0" borderId="1" xfId="0" applyFont="1" applyFill="1" applyBorder="1"/>
    <xf numFmtId="4" fontId="4" fillId="0" borderId="0" xfId="0" applyNumberFormat="1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3" fillId="0" borderId="0" xfId="0" quotePrefix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 wrapText="1"/>
    </xf>
    <xf numFmtId="166" fontId="18" fillId="0" borderId="0" xfId="0" applyNumberFormat="1" applyFont="1" applyFill="1" applyBorder="1"/>
    <xf numFmtId="166" fontId="19" fillId="0" borderId="0" xfId="0" applyNumberFormat="1" applyFont="1" applyFill="1" applyBorder="1"/>
    <xf numFmtId="0" fontId="16" fillId="0" borderId="0" xfId="0" quotePrefix="1" applyFont="1" applyFill="1" applyAlignment="1">
      <alignment horizontal="right"/>
    </xf>
    <xf numFmtId="0" fontId="4" fillId="0" borderId="0" xfId="0" quotePrefix="1" applyFont="1" applyFill="1" applyAlignment="1">
      <alignment horizontal="right"/>
    </xf>
    <xf numFmtId="0" fontId="3" fillId="0" borderId="1" xfId="0" applyFont="1" applyFill="1" applyBorder="1" applyAlignment="1">
      <alignment horizontal="right"/>
    </xf>
    <xf numFmtId="49" fontId="4" fillId="0" borderId="0" xfId="0" applyNumberFormat="1" applyFont="1" applyFill="1"/>
    <xf numFmtId="0" fontId="4" fillId="0" borderId="0" xfId="0" applyFont="1" applyFill="1" applyBorder="1" applyAlignment="1"/>
    <xf numFmtId="3" fontId="4" fillId="0" borderId="0" xfId="0" applyNumberFormat="1" applyFont="1" applyAlignment="1">
      <alignment horizontal="right"/>
    </xf>
    <xf numFmtId="0" fontId="4" fillId="0" borderId="0" xfId="0" applyFont="1" applyFill="1" applyAlignment="1">
      <alignment horizontal="right"/>
    </xf>
    <xf numFmtId="17" fontId="3" fillId="0" borderId="0" xfId="0" applyNumberFormat="1" applyFont="1" applyBorder="1"/>
    <xf numFmtId="49" fontId="4" fillId="4" borderId="0" xfId="0" applyNumberFormat="1" applyFont="1" applyFill="1"/>
    <xf numFmtId="0" fontId="4" fillId="4" borderId="0" xfId="0" applyFont="1" applyFill="1"/>
    <xf numFmtId="0" fontId="11" fillId="4" borderId="0" xfId="0" applyFont="1" applyFill="1"/>
    <xf numFmtId="0" fontId="3" fillId="4" borderId="0" xfId="0" applyFont="1" applyFill="1" applyAlignment="1">
      <alignment horizontal="right"/>
    </xf>
    <xf numFmtId="166" fontId="3" fillId="4" borderId="0" xfId="0" applyNumberFormat="1" applyFont="1" applyFill="1"/>
    <xf numFmtId="166" fontId="4" fillId="4" borderId="0" xfId="0" applyNumberFormat="1" applyFont="1" applyFill="1" applyBorder="1"/>
    <xf numFmtId="3" fontId="3" fillId="5" borderId="13" xfId="0" applyNumberFormat="1" applyFont="1" applyFill="1" applyBorder="1" applyAlignment="1">
      <alignment horizontal="right"/>
    </xf>
    <xf numFmtId="49" fontId="3" fillId="0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3" fillId="0" borderId="5" xfId="0" applyFont="1" applyFill="1" applyBorder="1" applyAlignment="1">
      <alignment horizontal="right"/>
    </xf>
    <xf numFmtId="0" fontId="19" fillId="0" borderId="5" xfId="0" applyFont="1" applyFill="1" applyBorder="1" applyAlignment="1">
      <alignment horizontal="right"/>
    </xf>
    <xf numFmtId="0" fontId="3" fillId="0" borderId="5" xfId="0" applyFont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2" fontId="3" fillId="0" borderId="0" xfId="0" applyNumberFormat="1" applyFont="1" applyFill="1"/>
    <xf numFmtId="166" fontId="4" fillId="0" borderId="1" xfId="0" applyNumberFormat="1" applyFont="1" applyFill="1" applyBorder="1"/>
    <xf numFmtId="166" fontId="4" fillId="0" borderId="1" xfId="0" applyNumberFormat="1" applyFont="1" applyBorder="1"/>
    <xf numFmtId="170" fontId="3" fillId="0" borderId="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right"/>
    </xf>
    <xf numFmtId="0" fontId="15" fillId="0" borderId="0" xfId="0" applyFont="1" applyFill="1" applyBorder="1"/>
    <xf numFmtId="164" fontId="32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left"/>
    </xf>
    <xf numFmtId="49" fontId="11" fillId="0" borderId="0" xfId="0" applyNumberFormat="1" applyFont="1" applyFill="1" applyBorder="1" applyAlignment="1">
      <alignment horizontal="right"/>
    </xf>
    <xf numFmtId="166" fontId="12" fillId="0" borderId="0" xfId="0" applyNumberFormat="1" applyFont="1" applyFill="1" applyBorder="1"/>
    <xf numFmtId="7" fontId="11" fillId="0" borderId="0" xfId="0" applyNumberFormat="1" applyFont="1" applyFill="1" applyBorder="1"/>
    <xf numFmtId="0" fontId="21" fillId="0" borderId="0" xfId="0" applyFont="1" applyFill="1" applyBorder="1"/>
    <xf numFmtId="49" fontId="11" fillId="0" borderId="0" xfId="0" applyNumberFormat="1" applyFont="1" applyFill="1" applyBorder="1"/>
    <xf numFmtId="49" fontId="11" fillId="0" borderId="0" xfId="0" applyNumberFormat="1" applyFont="1" applyFill="1" applyBorder="1" applyAlignment="1">
      <alignment horizontal="center"/>
    </xf>
    <xf numFmtId="3" fontId="3" fillId="0" borderId="1" xfId="0" applyNumberFormat="1" applyFont="1" applyFill="1" applyBorder="1"/>
    <xf numFmtId="3" fontId="3" fillId="0" borderId="0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left"/>
    </xf>
    <xf numFmtId="7" fontId="12" fillId="0" borderId="0" xfId="0" applyNumberFormat="1" applyFont="1" applyFill="1" applyBorder="1"/>
    <xf numFmtId="0" fontId="12" fillId="0" borderId="0" xfId="0" applyFont="1" applyFill="1" applyBorder="1"/>
    <xf numFmtId="0" fontId="3" fillId="3" borderId="0" xfId="0" applyFont="1" applyFill="1" applyBorder="1"/>
    <xf numFmtId="3" fontId="3" fillId="3" borderId="0" xfId="0" applyNumberFormat="1" applyFont="1" applyFill="1" applyBorder="1"/>
    <xf numFmtId="3" fontId="4" fillId="3" borderId="0" xfId="0" applyNumberFormat="1" applyFont="1" applyFill="1" applyBorder="1"/>
    <xf numFmtId="164" fontId="4" fillId="3" borderId="0" xfId="0" applyNumberFormat="1" applyFont="1" applyFill="1" applyBorder="1"/>
    <xf numFmtId="0" fontId="3" fillId="3" borderId="0" xfId="0" applyFont="1" applyFill="1" applyBorder="1" applyAlignment="1">
      <alignment horizontal="left"/>
    </xf>
    <xf numFmtId="167" fontId="4" fillId="0" borderId="0" xfId="0" applyNumberFormat="1" applyFont="1" applyFill="1" applyBorder="1"/>
    <xf numFmtId="0" fontId="4" fillId="0" borderId="20" xfId="0" applyFont="1" applyFill="1" applyBorder="1"/>
    <xf numFmtId="0" fontId="4" fillId="0" borderId="6" xfId="0" applyFont="1" applyFill="1" applyBorder="1"/>
    <xf numFmtId="0" fontId="7" fillId="0" borderId="6" xfId="0" applyFont="1" applyBorder="1"/>
    <xf numFmtId="167" fontId="4" fillId="0" borderId="4" xfId="0" applyNumberFormat="1" applyFont="1" applyBorder="1" applyAlignment="1">
      <alignment horizontal="center"/>
    </xf>
    <xf numFmtId="0" fontId="4" fillId="0" borderId="21" xfId="0" applyFont="1" applyBorder="1" applyAlignment="1">
      <alignment horizontal="right"/>
    </xf>
    <xf numFmtId="0" fontId="37" fillId="0" borderId="0" xfId="0" applyFont="1" applyAlignment="1">
      <alignment horizontal="centerContinuous"/>
    </xf>
    <xf numFmtId="17" fontId="40" fillId="0" borderId="0" xfId="0" applyNumberFormat="1" applyFont="1" applyFill="1" applyAlignment="1">
      <alignment horizontal="center"/>
    </xf>
    <xf numFmtId="17" fontId="26" fillId="0" borderId="0" xfId="0" applyNumberFormat="1" applyFont="1" applyFill="1" applyBorder="1" applyAlignment="1">
      <alignment horizontal="center"/>
    </xf>
    <xf numFmtId="164" fontId="4" fillId="0" borderId="12" xfId="0" applyNumberFormat="1" applyFont="1" applyFill="1" applyBorder="1"/>
    <xf numFmtId="0" fontId="41" fillId="6" borderId="22" xfId="0" applyFont="1" applyFill="1" applyBorder="1" applyAlignment="1">
      <alignment horizontal="center"/>
    </xf>
    <xf numFmtId="0" fontId="41" fillId="0" borderId="16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right"/>
    </xf>
    <xf numFmtId="0" fontId="42" fillId="0" borderId="20" xfId="0" applyFont="1" applyFill="1" applyBorder="1" applyAlignment="1">
      <alignment horizontal="center"/>
    </xf>
    <xf numFmtId="164" fontId="32" fillId="0" borderId="0" xfId="0" applyNumberFormat="1" applyFont="1" applyFill="1" applyBorder="1"/>
    <xf numFmtId="164" fontId="32" fillId="0" borderId="1" xfId="0" applyNumberFormat="1" applyFont="1" applyFill="1" applyBorder="1"/>
    <xf numFmtId="3" fontId="32" fillId="0" borderId="0" xfId="0" applyNumberFormat="1" applyFont="1" applyFill="1" applyBorder="1"/>
    <xf numFmtId="166" fontId="32" fillId="0" borderId="0" xfId="0" applyNumberFormat="1" applyFont="1" applyFill="1" applyBorder="1"/>
    <xf numFmtId="169" fontId="32" fillId="0" borderId="0" xfId="0" applyNumberFormat="1" applyFont="1" applyFill="1" applyBorder="1"/>
    <xf numFmtId="3" fontId="32" fillId="0" borderId="0" xfId="0" applyNumberFormat="1" applyFont="1" applyBorder="1"/>
    <xf numFmtId="173" fontId="32" fillId="0" borderId="0" xfId="0" applyNumberFormat="1" applyFont="1" applyBorder="1"/>
    <xf numFmtId="0" fontId="42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49" fontId="22" fillId="0" borderId="0" xfId="0" applyNumberFormat="1" applyFont="1" applyFill="1"/>
    <xf numFmtId="0" fontId="22" fillId="0" borderId="0" xfId="0" applyFont="1" applyFill="1"/>
    <xf numFmtId="0" fontId="41" fillId="0" borderId="0" xfId="0" applyFont="1" applyBorder="1" applyAlignment="1">
      <alignment horizontal="center"/>
    </xf>
    <xf numFmtId="0" fontId="42" fillId="0" borderId="0" xfId="0" applyFont="1" applyBorder="1" applyAlignment="1">
      <alignment horizontal="center" wrapText="1"/>
    </xf>
    <xf numFmtId="0" fontId="42" fillId="0" borderId="5" xfId="0" applyFont="1" applyBorder="1" applyAlignment="1">
      <alignment horizontal="center" wrapText="1"/>
    </xf>
    <xf numFmtId="0" fontId="43" fillId="0" borderId="5" xfId="0" applyFont="1" applyFill="1" applyBorder="1" applyAlignment="1">
      <alignment horizontal="center" wrapText="1"/>
    </xf>
    <xf numFmtId="0" fontId="43" fillId="0" borderId="0" xfId="0" applyFont="1" applyFill="1" applyBorder="1" applyAlignment="1">
      <alignment horizontal="center" wrapText="1"/>
    </xf>
    <xf numFmtId="0" fontId="42" fillId="0" borderId="13" xfId="0" applyFont="1" applyFill="1" applyBorder="1" applyAlignment="1">
      <alignment horizontal="center" wrapText="1"/>
    </xf>
    <xf numFmtId="0" fontId="41" fillId="0" borderId="0" xfId="0" applyFont="1"/>
    <xf numFmtId="0" fontId="22" fillId="0" borderId="0" xfId="0" applyFont="1" applyFill="1" applyAlignment="1">
      <alignment horizontal="center"/>
    </xf>
    <xf numFmtId="0" fontId="43" fillId="0" borderId="0" xfId="0" applyFont="1" applyAlignment="1">
      <alignment horizontal="center"/>
    </xf>
    <xf numFmtId="0" fontId="42" fillId="0" borderId="0" xfId="0" applyFont="1" applyFill="1"/>
    <xf numFmtId="0" fontId="44" fillId="0" borderId="0" xfId="0" applyFont="1" applyFill="1" applyAlignment="1">
      <alignment horizontal="center"/>
    </xf>
    <xf numFmtId="0" fontId="44" fillId="0" borderId="0" xfId="0" applyFont="1" applyFill="1"/>
    <xf numFmtId="0" fontId="42" fillId="0" borderId="0" xfId="0" applyFont="1" applyAlignment="1">
      <alignment horizontal="right"/>
    </xf>
    <xf numFmtId="0" fontId="42" fillId="0" borderId="1" xfId="0" applyFont="1" applyFill="1" applyBorder="1" applyAlignment="1">
      <alignment horizontal="right"/>
    </xf>
    <xf numFmtId="49" fontId="42" fillId="0" borderId="13" xfId="0" applyNumberFormat="1" applyFont="1" applyFill="1" applyBorder="1" applyAlignment="1">
      <alignment horizontal="center"/>
    </xf>
    <xf numFmtId="166" fontId="47" fillId="0" borderId="0" xfId="0" applyNumberFormat="1" applyFont="1" applyFill="1" applyBorder="1" applyAlignment="1">
      <alignment horizontal="right"/>
    </xf>
    <xf numFmtId="172" fontId="47" fillId="0" borderId="0" xfId="0" applyNumberFormat="1" applyFont="1" applyFill="1" applyBorder="1" applyAlignment="1">
      <alignment horizontal="right"/>
    </xf>
    <xf numFmtId="0" fontId="48" fillId="0" borderId="0" xfId="0" applyFont="1" applyAlignment="1">
      <alignment horizontal="right"/>
    </xf>
    <xf numFmtId="3" fontId="32" fillId="0" borderId="13" xfId="0" applyNumberFormat="1" applyFont="1" applyFill="1" applyBorder="1" applyAlignment="1">
      <alignment horizontal="right"/>
    </xf>
    <xf numFmtId="3" fontId="32" fillId="0" borderId="0" xfId="0" applyNumberFormat="1" applyFont="1" applyAlignment="1">
      <alignment horizontal="right"/>
    </xf>
    <xf numFmtId="166" fontId="32" fillId="0" borderId="1" xfId="0" applyNumberFormat="1" applyFont="1" applyFill="1" applyBorder="1" applyAlignment="1">
      <alignment horizontal="right"/>
    </xf>
    <xf numFmtId="0" fontId="42" fillId="0" borderId="0" xfId="0" applyFont="1" applyFill="1" applyAlignment="1">
      <alignment horizontal="right"/>
    </xf>
    <xf numFmtId="17" fontId="42" fillId="0" borderId="0" xfId="0" applyNumberFormat="1" applyFont="1"/>
    <xf numFmtId="0" fontId="48" fillId="0" borderId="0" xfId="0" applyFont="1" applyAlignment="1">
      <alignment horizontal="center"/>
    </xf>
    <xf numFmtId="166" fontId="47" fillId="0" borderId="5" xfId="0" applyNumberFormat="1" applyFont="1" applyFill="1" applyBorder="1"/>
    <xf numFmtId="172" fontId="47" fillId="0" borderId="5" xfId="0" applyNumberFormat="1" applyFont="1" applyFill="1" applyBorder="1"/>
    <xf numFmtId="17" fontId="40" fillId="0" borderId="0" xfId="0" applyNumberFormat="1" applyFont="1" applyFill="1" applyAlignment="1">
      <alignment horizontal="center" wrapText="1"/>
    </xf>
    <xf numFmtId="3" fontId="32" fillId="0" borderId="13" xfId="0" applyNumberFormat="1" applyFont="1" applyFill="1" applyBorder="1" applyAlignment="1">
      <alignment horizontal="center"/>
    </xf>
    <xf numFmtId="1" fontId="32" fillId="0" borderId="13" xfId="0" applyNumberFormat="1" applyFont="1" applyFill="1" applyBorder="1" applyAlignment="1">
      <alignment horizontal="center"/>
    </xf>
    <xf numFmtId="166" fontId="32" fillId="0" borderId="13" xfId="0" applyNumberFormat="1" applyFont="1" applyFill="1" applyBorder="1" applyAlignment="1">
      <alignment horizontal="center"/>
    </xf>
    <xf numFmtId="166" fontId="32" fillId="0" borderId="0" xfId="0" applyNumberFormat="1" applyFont="1" applyFill="1" applyBorder="1" applyAlignment="1">
      <alignment horizontal="right"/>
    </xf>
    <xf numFmtId="166" fontId="32" fillId="0" borderId="0" xfId="0" applyNumberFormat="1" applyFont="1" applyFill="1"/>
    <xf numFmtId="166" fontId="32" fillId="0" borderId="5" xfId="0" applyNumberFormat="1" applyFont="1" applyFill="1" applyBorder="1"/>
    <xf numFmtId="3" fontId="32" fillId="0" borderId="0" xfId="0" applyNumberFormat="1" applyFont="1" applyFill="1"/>
    <xf numFmtId="4" fontId="32" fillId="0" borderId="0" xfId="0" applyNumberFormat="1" applyFont="1" applyFill="1"/>
    <xf numFmtId="166" fontId="39" fillId="0" borderId="5" xfId="0" applyNumberFormat="1" applyFont="1" applyFill="1" applyBorder="1"/>
    <xf numFmtId="0" fontId="42" fillId="0" borderId="1" xfId="0" applyFont="1" applyBorder="1" applyAlignment="1">
      <alignment horizontal="right"/>
    </xf>
    <xf numFmtId="166" fontId="48" fillId="0" borderId="1" xfId="0" applyNumberFormat="1" applyFont="1" applyFill="1" applyBorder="1" applyAlignment="1">
      <alignment horizontal="right"/>
    </xf>
    <xf numFmtId="17" fontId="41" fillId="0" borderId="1" xfId="0" applyNumberFormat="1" applyFont="1" applyFill="1" applyBorder="1" applyAlignment="1">
      <alignment horizontal="center" wrapText="1"/>
    </xf>
    <xf numFmtId="0" fontId="48" fillId="0" borderId="0" xfId="0" applyFont="1" applyFill="1" applyBorder="1" applyAlignment="1">
      <alignment horizontal="right" wrapText="1"/>
    </xf>
    <xf numFmtId="3" fontId="47" fillId="0" borderId="0" xfId="0" applyNumberFormat="1" applyFont="1" applyFill="1" applyBorder="1"/>
    <xf numFmtId="3" fontId="49" fillId="0" borderId="0" xfId="0" applyNumberFormat="1" applyFont="1" applyFill="1" applyBorder="1"/>
    <xf numFmtId="3" fontId="36" fillId="0" borderId="0" xfId="0" applyNumberFormat="1" applyFont="1" applyFill="1" applyBorder="1"/>
    <xf numFmtId="0" fontId="36" fillId="0" borderId="0" xfId="0" applyFont="1" applyFill="1" applyAlignment="1">
      <alignment horizontal="left"/>
    </xf>
    <xf numFmtId="166" fontId="32" fillId="0" borderId="13" xfId="0" applyNumberFormat="1" applyFont="1" applyFill="1" applyBorder="1" applyAlignment="1">
      <alignment horizontal="right"/>
    </xf>
    <xf numFmtId="165" fontId="32" fillId="0" borderId="13" xfId="0" applyNumberFormat="1" applyFont="1" applyBorder="1"/>
    <xf numFmtId="0" fontId="46" fillId="0" borderId="0" xfId="0" applyFont="1" applyFill="1"/>
    <xf numFmtId="17" fontId="45" fillId="0" borderId="0" xfId="0" applyNumberFormat="1" applyFont="1" applyFill="1"/>
    <xf numFmtId="166" fontId="45" fillId="0" borderId="0" xfId="0" applyNumberFormat="1" applyFont="1" applyFill="1" applyAlignment="1">
      <alignment horizontal="right"/>
    </xf>
    <xf numFmtId="3" fontId="32" fillId="0" borderId="0" xfId="0" applyNumberFormat="1" applyFont="1" applyFill="1" applyBorder="1" applyAlignment="1">
      <alignment horizontal="right"/>
    </xf>
    <xf numFmtId="0" fontId="51" fillId="0" borderId="0" xfId="0" applyFont="1" applyFill="1"/>
    <xf numFmtId="0" fontId="52" fillId="0" borderId="0" xfId="0" applyFont="1" applyFill="1" applyAlignment="1">
      <alignment horizontal="center"/>
    </xf>
    <xf numFmtId="0" fontId="52" fillId="0" borderId="0" xfId="0" applyFont="1" applyFill="1"/>
    <xf numFmtId="0" fontId="51" fillId="0" borderId="0" xfId="0" applyFont="1" applyFill="1" applyAlignment="1">
      <alignment horizontal="center"/>
    </xf>
    <xf numFmtId="17" fontId="40" fillId="0" borderId="1" xfId="0" applyNumberFormat="1" applyFont="1" applyFill="1" applyBorder="1" applyAlignment="1">
      <alignment horizontal="center" wrapText="1"/>
    </xf>
    <xf numFmtId="0" fontId="3" fillId="0" borderId="23" xfId="0" applyFont="1" applyBorder="1"/>
    <xf numFmtId="164" fontId="54" fillId="0" borderId="0" xfId="0" quotePrefix="1" applyNumberFormat="1" applyFont="1" applyAlignment="1">
      <alignment horizontal="center"/>
    </xf>
    <xf numFmtId="17" fontId="40" fillId="0" borderId="17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right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1" xfId="0" applyFont="1" applyFill="1" applyBorder="1"/>
    <xf numFmtId="0" fontId="4" fillId="0" borderId="4" xfId="0" applyFont="1" applyFill="1" applyBorder="1"/>
    <xf numFmtId="0" fontId="4" fillId="0" borderId="26" xfId="0" applyFont="1" applyFill="1" applyBorder="1"/>
    <xf numFmtId="0" fontId="3" fillId="0" borderId="6" xfId="0" applyFont="1" applyFill="1" applyBorder="1" applyAlignment="1">
      <alignment horizontal="right"/>
    </xf>
    <xf numFmtId="0" fontId="41" fillId="6" borderId="27" xfId="0" applyFont="1" applyFill="1" applyBorder="1" applyAlignment="1">
      <alignment horizontal="center"/>
    </xf>
    <xf numFmtId="0" fontId="3" fillId="0" borderId="6" xfId="0" applyFont="1" applyFill="1" applyBorder="1"/>
    <xf numFmtId="7" fontId="4" fillId="0" borderId="24" xfId="0" applyNumberFormat="1" applyFont="1" applyFill="1" applyBorder="1"/>
    <xf numFmtId="0" fontId="4" fillId="0" borderId="22" xfId="0" applyFont="1" applyFill="1" applyBorder="1"/>
    <xf numFmtId="0" fontId="23" fillId="0" borderId="6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right"/>
    </xf>
    <xf numFmtId="0" fontId="13" fillId="0" borderId="6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164" fontId="32" fillId="0" borderId="0" xfId="0" applyNumberFormat="1" applyFont="1" applyBorder="1"/>
    <xf numFmtId="164" fontId="32" fillId="0" borderId="1" xfId="0" applyNumberFormat="1" applyFont="1" applyBorder="1"/>
    <xf numFmtId="164" fontId="32" fillId="0" borderId="0" xfId="0" applyNumberFormat="1" applyFont="1"/>
    <xf numFmtId="164" fontId="36" fillId="0" borderId="0" xfId="0" applyNumberFormat="1" applyFont="1" applyFill="1"/>
    <xf numFmtId="164" fontId="38" fillId="0" borderId="0" xfId="0" quotePrefix="1" applyNumberFormat="1" applyFont="1" applyFill="1" applyBorder="1" applyAlignment="1">
      <alignment horizontal="right"/>
    </xf>
    <xf numFmtId="16" fontId="25" fillId="0" borderId="0" xfId="0" applyNumberFormat="1" applyFont="1" applyBorder="1" applyAlignment="1">
      <alignment horizontal="center"/>
    </xf>
    <xf numFmtId="164" fontId="4" fillId="0" borderId="14" xfId="0" applyNumberFormat="1" applyFont="1" applyFill="1" applyBorder="1"/>
    <xf numFmtId="166" fontId="4" fillId="0" borderId="17" xfId="0" applyNumberFormat="1" applyFont="1" applyFill="1" applyBorder="1"/>
    <xf numFmtId="166" fontId="4" fillId="0" borderId="17" xfId="0" applyNumberFormat="1" applyFont="1" applyBorder="1"/>
    <xf numFmtId="0" fontId="3" fillId="0" borderId="31" xfId="0" applyFont="1" applyFill="1" applyBorder="1" applyAlignment="1">
      <alignment horizontal="left"/>
    </xf>
    <xf numFmtId="0" fontId="3" fillId="0" borderId="29" xfId="0" applyFont="1" applyFill="1" applyBorder="1" applyAlignment="1">
      <alignment horizontal="left"/>
    </xf>
    <xf numFmtId="0" fontId="3" fillId="0" borderId="30" xfId="0" applyFont="1" applyFill="1" applyBorder="1" applyAlignment="1">
      <alignment horizontal="left"/>
    </xf>
    <xf numFmtId="0" fontId="3" fillId="0" borderId="31" xfId="0" applyFont="1" applyFill="1" applyBorder="1" applyAlignment="1">
      <alignment horizontal="right"/>
    </xf>
    <xf numFmtId="0" fontId="3" fillId="0" borderId="29" xfId="0" applyFont="1" applyFill="1" applyBorder="1" applyAlignment="1">
      <alignment horizontal="right"/>
    </xf>
    <xf numFmtId="0" fontId="3" fillId="0" borderId="30" xfId="0" applyFont="1" applyFill="1" applyBorder="1" applyAlignment="1">
      <alignment horizontal="right"/>
    </xf>
    <xf numFmtId="0" fontId="3" fillId="0" borderId="31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4" fillId="0" borderId="17" xfId="0" applyNumberFormat="1" applyFont="1" applyBorder="1" applyAlignment="1">
      <alignment horizontal="center"/>
    </xf>
    <xf numFmtId="0" fontId="4" fillId="0" borderId="17" xfId="0" applyFont="1" applyBorder="1"/>
    <xf numFmtId="1" fontId="3" fillId="0" borderId="0" xfId="0" applyNumberFormat="1" applyFont="1" applyFill="1" applyBorder="1"/>
    <xf numFmtId="1" fontId="3" fillId="0" borderId="1" xfId="0" applyNumberFormat="1" applyFont="1" applyFill="1" applyBorder="1"/>
    <xf numFmtId="164" fontId="36" fillId="0" borderId="0" xfId="0" applyNumberFormat="1" applyFont="1" applyFill="1" applyBorder="1"/>
    <xf numFmtId="0" fontId="4" fillId="5" borderId="13" xfId="0" applyFont="1" applyFill="1" applyBorder="1" applyAlignment="1">
      <alignment horizontal="center"/>
    </xf>
    <xf numFmtId="168" fontId="4" fillId="5" borderId="13" xfId="0" applyNumberFormat="1" applyFont="1" applyFill="1" applyBorder="1" applyAlignment="1">
      <alignment horizontal="center"/>
    </xf>
    <xf numFmtId="0" fontId="48" fillId="0" borderId="1" xfId="0" applyFont="1" applyFill="1" applyBorder="1" applyAlignment="1">
      <alignment horizontal="right" wrapText="1"/>
    </xf>
    <xf numFmtId="0" fontId="18" fillId="0" borderId="5" xfId="0" applyFont="1" applyFill="1" applyBorder="1" applyAlignment="1">
      <alignment horizontal="right"/>
    </xf>
    <xf numFmtId="0" fontId="56" fillId="0" borderId="0" xfId="0" applyFont="1" applyFill="1"/>
    <xf numFmtId="2" fontId="12" fillId="0" borderId="0" xfId="0" applyNumberFormat="1" applyFont="1" applyFill="1" applyBorder="1" applyAlignment="1">
      <alignment horizontal="right"/>
    </xf>
    <xf numFmtId="2" fontId="12" fillId="0" borderId="1" xfId="0" applyNumberFormat="1" applyFont="1" applyFill="1" applyBorder="1" applyAlignment="1">
      <alignment horizontal="right"/>
    </xf>
    <xf numFmtId="2" fontId="4" fillId="0" borderId="0" xfId="0" applyNumberFormat="1" applyFont="1" applyAlignment="1">
      <alignment horizontal="center"/>
    </xf>
    <xf numFmtId="0" fontId="3" fillId="2" borderId="13" xfId="0" applyFont="1" applyFill="1" applyBorder="1" applyAlignment="1">
      <alignment horizontal="right"/>
    </xf>
    <xf numFmtId="4" fontId="12" fillId="0" borderId="0" xfId="0" applyNumberFormat="1" applyFont="1" applyAlignment="1">
      <alignment horizontal="center"/>
    </xf>
    <xf numFmtId="164" fontId="4" fillId="0" borderId="0" xfId="0" applyNumberFormat="1" applyFont="1" applyBorder="1" applyAlignment="1"/>
    <xf numFmtId="0" fontId="41" fillId="0" borderId="32" xfId="0" applyFont="1" applyFill="1" applyBorder="1" applyAlignment="1">
      <alignment horizontal="center"/>
    </xf>
    <xf numFmtId="8" fontId="4" fillId="3" borderId="0" xfId="0" applyNumberFormat="1" applyFont="1" applyFill="1" applyBorder="1" applyAlignment="1">
      <alignment horizontal="left"/>
    </xf>
    <xf numFmtId="0" fontId="21" fillId="0" borderId="1" xfId="0" applyFont="1" applyBorder="1" applyAlignment="1">
      <alignment horizontal="center"/>
    </xf>
    <xf numFmtId="0" fontId="11" fillId="0" borderId="0" xfId="0" applyFont="1" applyFill="1" applyAlignment="1">
      <alignment horizontal="right"/>
    </xf>
    <xf numFmtId="0" fontId="4" fillId="3" borderId="3" xfId="0" applyFont="1" applyFill="1" applyBorder="1"/>
    <xf numFmtId="0" fontId="4" fillId="3" borderId="23" xfId="0" applyFont="1" applyFill="1" applyBorder="1"/>
    <xf numFmtId="1" fontId="4" fillId="0" borderId="16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0" fontId="4" fillId="5" borderId="13" xfId="0" applyNumberFormat="1" applyFont="1" applyFill="1" applyBorder="1" applyAlignment="1">
      <alignment horizontal="center"/>
    </xf>
    <xf numFmtId="0" fontId="3" fillId="5" borderId="13" xfId="0" applyFont="1" applyFill="1" applyBorder="1"/>
    <xf numFmtId="0" fontId="3" fillId="5" borderId="13" xfId="0" applyFont="1" applyFill="1" applyBorder="1" applyAlignment="1">
      <alignment horizontal="right"/>
    </xf>
    <xf numFmtId="3" fontId="3" fillId="2" borderId="13" xfId="0" applyNumberFormat="1" applyFont="1" applyFill="1" applyBorder="1" applyAlignment="1">
      <alignment horizontal="right"/>
    </xf>
    <xf numFmtId="167" fontId="27" fillId="0" borderId="4" xfId="0" applyNumberFormat="1" applyFont="1" applyFill="1" applyBorder="1" applyAlignment="1">
      <alignment horizontal="center"/>
    </xf>
    <xf numFmtId="172" fontId="12" fillId="0" borderId="0" xfId="0" applyNumberFormat="1" applyFont="1" applyFill="1" applyBorder="1"/>
    <xf numFmtId="0" fontId="58" fillId="0" borderId="0" xfId="0" applyFont="1"/>
    <xf numFmtId="2" fontId="58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applyFont="1"/>
    <xf numFmtId="0" fontId="17" fillId="0" borderId="0" xfId="0" applyFont="1"/>
    <xf numFmtId="0" fontId="36" fillId="0" borderId="0" xfId="0" applyFont="1" applyAlignment="1">
      <alignment horizontal="center"/>
    </xf>
    <xf numFmtId="17" fontId="36" fillId="0" borderId="0" xfId="0" applyNumberFormat="1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7" fontId="39" fillId="0" borderId="0" xfId="0" applyNumberFormat="1" applyFont="1" applyFill="1" applyBorder="1" applyAlignment="1">
      <alignment horizontal="center"/>
    </xf>
    <xf numFmtId="17" fontId="40" fillId="0" borderId="19" xfId="0" applyNumberFormat="1" applyFont="1" applyFill="1" applyBorder="1" applyAlignment="1">
      <alignment horizontal="center"/>
    </xf>
    <xf numFmtId="166" fontId="32" fillId="0" borderId="0" xfId="0" applyNumberFormat="1" applyFont="1" applyFill="1" applyBorder="1" applyAlignment="1">
      <alignment horizontal="center"/>
    </xf>
    <xf numFmtId="17" fontId="40" fillId="0" borderId="16" xfId="0" applyNumberFormat="1" applyFont="1" applyFill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4" fontId="60" fillId="0" borderId="0" xfId="0" quotePrefix="1" applyNumberFormat="1" applyFont="1" applyAlignment="1">
      <alignment horizontal="center"/>
    </xf>
    <xf numFmtId="165" fontId="39" fillId="0" borderId="0" xfId="0" applyNumberFormat="1" applyFont="1" applyFill="1"/>
    <xf numFmtId="2" fontId="12" fillId="0" borderId="1" xfId="0" applyNumberFormat="1" applyFont="1" applyBorder="1" applyAlignment="1"/>
    <xf numFmtId="0" fontId="2" fillId="0" borderId="0" xfId="0" applyFont="1"/>
    <xf numFmtId="2" fontId="25" fillId="0" borderId="0" xfId="0" applyNumberFormat="1" applyFont="1" applyFill="1" applyBorder="1" applyAlignment="1">
      <alignment horizontal="center"/>
    </xf>
    <xf numFmtId="164" fontId="25" fillId="0" borderId="0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0" fontId="62" fillId="7" borderId="34" xfId="0" applyFont="1" applyFill="1" applyBorder="1" applyAlignment="1">
      <alignment horizontal="center"/>
    </xf>
    <xf numFmtId="0" fontId="62" fillId="7" borderId="35" xfId="0" applyFont="1" applyFill="1" applyBorder="1" applyAlignment="1">
      <alignment horizontal="center"/>
    </xf>
    <xf numFmtId="0" fontId="62" fillId="7" borderId="33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6" xfId="0" applyFont="1" applyFill="1" applyBorder="1" applyAlignment="1"/>
    <xf numFmtId="0" fontId="64" fillId="0" borderId="0" xfId="0" applyFont="1" applyFill="1" applyBorder="1" applyAlignment="1">
      <alignment horizontal="center"/>
    </xf>
    <xf numFmtId="3" fontId="64" fillId="0" borderId="0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21" fillId="0" borderId="29" xfId="0" applyFont="1" applyFill="1" applyBorder="1" applyAlignment="1">
      <alignment horizontal="center"/>
    </xf>
    <xf numFmtId="164" fontId="4" fillId="0" borderId="38" xfId="0" applyNumberFormat="1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164" fontId="36" fillId="0" borderId="0" xfId="0" applyNumberFormat="1" applyFont="1" applyBorder="1"/>
    <xf numFmtId="164" fontId="36" fillId="0" borderId="1" xfId="0" applyNumberFormat="1" applyFont="1" applyBorder="1"/>
    <xf numFmtId="164" fontId="36" fillId="0" borderId="0" xfId="0" applyNumberFormat="1" applyFont="1"/>
    <xf numFmtId="164" fontId="11" fillId="0" borderId="0" xfId="0" quotePrefix="1" applyNumberFormat="1" applyFont="1" applyFill="1" applyBorder="1" applyAlignment="1">
      <alignment horizontal="right"/>
    </xf>
    <xf numFmtId="164" fontId="4" fillId="0" borderId="0" xfId="0" applyNumberFormat="1" applyFont="1" applyFill="1" applyAlignment="1">
      <alignment horizontal="right"/>
    </xf>
    <xf numFmtId="164" fontId="3" fillId="0" borderId="0" xfId="0" applyNumberFormat="1" applyFont="1" applyFill="1"/>
    <xf numFmtId="0" fontId="15" fillId="0" borderId="0" xfId="0" applyFont="1" applyFill="1" applyBorder="1" applyAlignment="1">
      <alignment horizontal="center"/>
    </xf>
    <xf numFmtId="0" fontId="4" fillId="0" borderId="31" xfId="0" applyFont="1" applyFill="1" applyBorder="1"/>
    <xf numFmtId="0" fontId="4" fillId="0" borderId="13" xfId="0" applyFont="1" applyFill="1" applyBorder="1"/>
    <xf numFmtId="0" fontId="4" fillId="0" borderId="0" xfId="0" applyFont="1" applyFill="1" applyAlignment="1">
      <alignment horizontal="center" wrapText="1"/>
    </xf>
    <xf numFmtId="165" fontId="32" fillId="0" borderId="13" xfId="0" applyNumberFormat="1" applyFont="1" applyFill="1" applyBorder="1"/>
    <xf numFmtId="0" fontId="18" fillId="0" borderId="0" xfId="0" quotePrefix="1" applyFont="1" applyBorder="1" applyAlignment="1">
      <alignment horizontal="right"/>
    </xf>
    <xf numFmtId="0" fontId="66" fillId="0" borderId="0" xfId="0" applyFont="1" applyAlignment="1">
      <alignment horizontal="right"/>
    </xf>
    <xf numFmtId="0" fontId="67" fillId="0" borderId="0" xfId="0" applyFont="1"/>
    <xf numFmtId="0" fontId="66" fillId="0" borderId="0" xfId="0" applyFont="1"/>
    <xf numFmtId="0" fontId="25" fillId="0" borderId="0" xfId="0" applyFont="1"/>
    <xf numFmtId="2" fontId="25" fillId="0" borderId="0" xfId="0" applyNumberFormat="1" applyFont="1" applyAlignment="1">
      <alignment horizontal="center"/>
    </xf>
    <xf numFmtId="2" fontId="36" fillId="0" borderId="0" xfId="0" applyNumberFormat="1" applyFont="1" applyAlignment="1">
      <alignment horizontal="center"/>
    </xf>
    <xf numFmtId="164" fontId="4" fillId="0" borderId="29" xfId="0" applyNumberFormat="1" applyFont="1" applyBorder="1"/>
    <xf numFmtId="164" fontId="4" fillId="0" borderId="30" xfId="0" applyNumberFormat="1" applyFont="1" applyBorder="1"/>
    <xf numFmtId="49" fontId="12" fillId="0" borderId="0" xfId="0" applyNumberFormat="1" applyFont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NumberFormat="1" applyFont="1" applyBorder="1" applyAlignment="1" applyProtection="1">
      <alignment horizontal="center"/>
      <protection locked="0"/>
    </xf>
    <xf numFmtId="166" fontId="4" fillId="0" borderId="0" xfId="0" applyNumberFormat="1" applyFont="1"/>
    <xf numFmtId="0" fontId="4" fillId="0" borderId="0" xfId="0" applyNumberFormat="1" applyFont="1" applyBorder="1" applyAlignment="1" applyProtection="1">
      <protection locked="0"/>
    </xf>
    <xf numFmtId="49" fontId="3" fillId="0" borderId="0" xfId="0" applyNumberFormat="1" applyFont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21" fillId="0" borderId="0" xfId="0" applyFont="1" applyFill="1" applyBorder="1" applyAlignment="1">
      <alignment horizontal="right"/>
    </xf>
    <xf numFmtId="0" fontId="70" fillId="0" borderId="29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0" borderId="0" xfId="0" applyNumberFormat="1" applyFont="1" applyBorder="1" applyAlignment="1" applyProtection="1">
      <protection locked="0"/>
    </xf>
    <xf numFmtId="4" fontId="13" fillId="0" borderId="0" xfId="0" applyNumberFormat="1" applyFont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12" fillId="0" borderId="4" xfId="0" applyNumberFormat="1" applyFont="1" applyBorder="1" applyAlignment="1">
      <alignment horizontal="center"/>
    </xf>
    <xf numFmtId="4" fontId="11" fillId="0" borderId="0" xfId="0" applyNumberFormat="1" applyFont="1" applyBorder="1" applyAlignment="1" applyProtection="1">
      <protection locked="0"/>
    </xf>
    <xf numFmtId="176" fontId="3" fillId="0" borderId="0" xfId="0" applyNumberFormat="1" applyFont="1" applyAlignment="1">
      <alignment horizontal="center"/>
    </xf>
    <xf numFmtId="2" fontId="4" fillId="0" borderId="0" xfId="0" applyNumberFormat="1" applyFont="1" applyBorder="1" applyAlignment="1" applyProtection="1">
      <alignment horizontal="center"/>
      <protection locked="0"/>
    </xf>
    <xf numFmtId="164" fontId="10" fillId="0" borderId="17" xfId="0" applyNumberFormat="1" applyFont="1" applyFill="1" applyBorder="1" applyAlignment="1">
      <alignment horizontal="center"/>
    </xf>
    <xf numFmtId="164" fontId="10" fillId="0" borderId="29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164" fontId="71" fillId="0" borderId="17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7" fontId="32" fillId="0" borderId="0" xfId="0" applyNumberFormat="1" applyFont="1" applyBorder="1"/>
    <xf numFmtId="8" fontId="32" fillId="0" borderId="0" xfId="0" applyNumberFormat="1" applyFont="1" applyBorder="1"/>
    <xf numFmtId="40" fontId="4" fillId="0" borderId="0" xfId="0" applyNumberFormat="1" applyFont="1" applyBorder="1"/>
    <xf numFmtId="8" fontId="4" fillId="0" borderId="0" xfId="0" applyNumberFormat="1" applyFont="1" applyBorder="1"/>
    <xf numFmtId="164" fontId="72" fillId="0" borderId="0" xfId="0" applyNumberFormat="1" applyFont="1" applyFill="1" applyBorder="1" applyAlignment="1">
      <alignment horizontal="center"/>
    </xf>
    <xf numFmtId="164" fontId="72" fillId="0" borderId="16" xfId="0" applyNumberFormat="1" applyFont="1" applyFill="1" applyBorder="1" applyAlignment="1">
      <alignment horizontal="center"/>
    </xf>
    <xf numFmtId="164" fontId="72" fillId="0" borderId="5" xfId="0" applyNumberFormat="1" applyFont="1" applyFill="1" applyBorder="1" applyAlignment="1">
      <alignment horizontal="center"/>
    </xf>
    <xf numFmtId="0" fontId="72" fillId="0" borderId="5" xfId="0" applyFont="1" applyFill="1" applyBorder="1" applyAlignment="1">
      <alignment horizontal="center"/>
    </xf>
    <xf numFmtId="0" fontId="73" fillId="0" borderId="5" xfId="0" applyFont="1" applyFill="1" applyBorder="1"/>
    <xf numFmtId="167" fontId="72" fillId="0" borderId="28" xfId="0" applyNumberFormat="1" applyFont="1" applyFill="1" applyBorder="1" applyAlignment="1">
      <alignment horizontal="center"/>
    </xf>
    <xf numFmtId="164" fontId="72" fillId="0" borderId="31" xfId="0" applyNumberFormat="1" applyFont="1" applyFill="1" applyBorder="1" applyAlignment="1">
      <alignment horizontal="center"/>
    </xf>
    <xf numFmtId="164" fontId="72" fillId="0" borderId="29" xfId="0" applyNumberFormat="1" applyFont="1" applyFill="1" applyBorder="1" applyAlignment="1">
      <alignment horizontal="center"/>
    </xf>
    <xf numFmtId="164" fontId="73" fillId="0" borderId="12" xfId="0" applyNumberFormat="1" applyFont="1" applyFill="1" applyBorder="1" applyAlignment="1">
      <alignment horizontal="center"/>
    </xf>
    <xf numFmtId="4" fontId="73" fillId="0" borderId="24" xfId="0" applyNumberFormat="1" applyFont="1" applyFill="1" applyBorder="1"/>
    <xf numFmtId="4" fontId="73" fillId="0" borderId="39" xfId="0" applyNumberFormat="1" applyFont="1" applyFill="1" applyBorder="1"/>
    <xf numFmtId="4" fontId="73" fillId="0" borderId="40" xfId="0" applyNumberFormat="1" applyFont="1" applyFill="1" applyBorder="1"/>
    <xf numFmtId="2" fontId="73" fillId="0" borderId="39" xfId="0" applyNumberFormat="1" applyFont="1" applyFill="1" applyBorder="1"/>
    <xf numFmtId="3" fontId="73" fillId="0" borderId="0" xfId="0" applyNumberFormat="1" applyFont="1" applyFill="1" applyBorder="1"/>
    <xf numFmtId="2" fontId="73" fillId="0" borderId="0" xfId="0" applyNumberFormat="1" applyFont="1" applyFill="1" applyBorder="1"/>
    <xf numFmtId="0" fontId="73" fillId="0" borderId="0" xfId="0" applyNumberFormat="1" applyFont="1" applyFill="1" applyBorder="1"/>
    <xf numFmtId="3" fontId="73" fillId="0" borderId="1" xfId="0" applyNumberFormat="1" applyFont="1" applyFill="1" applyBorder="1"/>
    <xf numFmtId="2" fontId="73" fillId="0" borderId="1" xfId="0" applyNumberFormat="1" applyFont="1" applyFill="1" applyBorder="1"/>
    <xf numFmtId="0" fontId="73" fillId="0" borderId="1" xfId="0" applyNumberFormat="1" applyFont="1" applyFill="1" applyBorder="1"/>
    <xf numFmtId="164" fontId="73" fillId="0" borderId="0" xfId="0" applyNumberFormat="1" applyFont="1" applyFill="1" applyBorder="1"/>
    <xf numFmtId="0" fontId="73" fillId="0" borderId="0" xfId="0" applyFont="1" applyFill="1" applyBorder="1"/>
    <xf numFmtId="164" fontId="73" fillId="0" borderId="1" xfId="0" applyNumberFormat="1" applyFont="1" applyFill="1" applyBorder="1"/>
    <xf numFmtId="0" fontId="73" fillId="0" borderId="1" xfId="0" applyFont="1" applyFill="1" applyBorder="1"/>
    <xf numFmtId="165" fontId="73" fillId="0" borderId="0" xfId="0" applyNumberFormat="1" applyFont="1" applyFill="1" applyBorder="1"/>
    <xf numFmtId="1" fontId="73" fillId="0" borderId="0" xfId="0" applyNumberFormat="1" applyFont="1" applyFill="1" applyBorder="1"/>
    <xf numFmtId="1" fontId="73" fillId="0" borderId="1" xfId="0" applyNumberFormat="1" applyFont="1" applyFill="1" applyBorder="1"/>
    <xf numFmtId="174" fontId="73" fillId="0" borderId="0" xfId="0" applyNumberFormat="1" applyFont="1" applyFill="1" applyBorder="1"/>
    <xf numFmtId="174" fontId="73" fillId="0" borderId="1" xfId="0" applyNumberFormat="1" applyFont="1" applyFill="1" applyBorder="1"/>
    <xf numFmtId="0" fontId="73" fillId="0" borderId="24" xfId="0" applyFont="1" applyFill="1" applyBorder="1"/>
    <xf numFmtId="4" fontId="73" fillId="0" borderId="24" xfId="0" applyNumberFormat="1" applyFont="1" applyFill="1" applyBorder="1" applyAlignment="1">
      <alignment horizontal="right"/>
    </xf>
    <xf numFmtId="4" fontId="73" fillId="0" borderId="39" xfId="0" applyNumberFormat="1" applyFont="1" applyFill="1" applyBorder="1" applyAlignment="1">
      <alignment horizontal="right"/>
    </xf>
    <xf numFmtId="0" fontId="76" fillId="0" borderId="20" xfId="0" applyFont="1" applyFill="1" applyBorder="1" applyAlignment="1">
      <alignment horizontal="center"/>
    </xf>
    <xf numFmtId="0" fontId="76" fillId="0" borderId="20" xfId="0" quotePrefix="1" applyFont="1" applyFill="1" applyBorder="1" applyAlignment="1">
      <alignment horizontal="center"/>
    </xf>
    <xf numFmtId="0" fontId="56" fillId="0" borderId="0" xfId="0" applyFont="1" applyFill="1" applyBorder="1"/>
    <xf numFmtId="0" fontId="76" fillId="0" borderId="1" xfId="0" applyFont="1" applyFill="1" applyBorder="1" applyAlignment="1">
      <alignment horizontal="center"/>
    </xf>
    <xf numFmtId="0" fontId="76" fillId="0" borderId="1" xfId="0" applyFont="1" applyBorder="1" applyAlignment="1">
      <alignment horizontal="center"/>
    </xf>
    <xf numFmtId="0" fontId="77" fillId="0" borderId="6" xfId="0" applyFont="1" applyBorder="1"/>
    <xf numFmtId="0" fontId="78" fillId="0" borderId="0" xfId="0" applyFont="1" applyBorder="1"/>
    <xf numFmtId="0" fontId="79" fillId="0" borderId="0" xfId="0" applyFont="1" applyFill="1" applyBorder="1"/>
    <xf numFmtId="0" fontId="79" fillId="0" borderId="0" xfId="0" applyFont="1" applyBorder="1"/>
    <xf numFmtId="0" fontId="56" fillId="0" borderId="6" xfId="0" applyFont="1" applyBorder="1" applyAlignment="1">
      <alignment horizontal="right"/>
    </xf>
    <xf numFmtId="167" fontId="56" fillId="0" borderId="0" xfId="0" applyNumberFormat="1" applyFont="1" applyFill="1" applyBorder="1" applyAlignment="1">
      <alignment horizontal="left"/>
    </xf>
    <xf numFmtId="0" fontId="56" fillId="0" borderId="6" xfId="0" applyFont="1" applyBorder="1"/>
    <xf numFmtId="0" fontId="79" fillId="0" borderId="0" xfId="0" applyFont="1" applyBorder="1" applyAlignment="1">
      <alignment horizontal="right"/>
    </xf>
    <xf numFmtId="0" fontId="79" fillId="0" borderId="6" xfId="0" applyFont="1" applyBorder="1" applyAlignment="1">
      <alignment horizontal="right"/>
    </xf>
    <xf numFmtId="0" fontId="79" fillId="0" borderId="6" xfId="0" applyFont="1" applyBorder="1"/>
    <xf numFmtId="49" fontId="79" fillId="0" borderId="0" xfId="0" applyNumberFormat="1" applyFont="1" applyFill="1" applyBorder="1" applyAlignment="1">
      <alignment horizontal="right"/>
    </xf>
    <xf numFmtId="0" fontId="79" fillId="0" borderId="0" xfId="0" applyFont="1" applyFill="1" applyBorder="1" applyAlignment="1">
      <alignment horizontal="right"/>
    </xf>
    <xf numFmtId="0" fontId="76" fillId="0" borderId="4" xfId="0" applyFont="1" applyFill="1" applyBorder="1" applyAlignment="1">
      <alignment horizontal="left"/>
    </xf>
    <xf numFmtId="0" fontId="76" fillId="0" borderId="6" xfId="0" applyFont="1" applyFill="1" applyBorder="1" applyAlignment="1">
      <alignment horizontal="right"/>
    </xf>
    <xf numFmtId="0" fontId="76" fillId="0" borderId="17" xfId="0" applyFont="1" applyFill="1" applyBorder="1" applyAlignment="1">
      <alignment horizontal="center"/>
    </xf>
    <xf numFmtId="0" fontId="76" fillId="0" borderId="17" xfId="0" quotePrefix="1" applyFont="1" applyFill="1" applyBorder="1" applyAlignment="1">
      <alignment horizontal="center"/>
    </xf>
    <xf numFmtId="0" fontId="76" fillId="0" borderId="0" xfId="0" applyFont="1" applyFill="1" applyBorder="1" applyAlignment="1">
      <alignment horizontal="center"/>
    </xf>
    <xf numFmtId="0" fontId="56" fillId="0" borderId="20" xfId="0" applyFont="1" applyFill="1" applyBorder="1"/>
    <xf numFmtId="0" fontId="81" fillId="0" borderId="0" xfId="0" applyFont="1" applyFill="1" applyBorder="1" applyAlignment="1">
      <alignment horizontal="right"/>
    </xf>
    <xf numFmtId="0" fontId="77" fillId="0" borderId="17" xfId="0" applyFont="1" applyFill="1" applyBorder="1" applyAlignment="1">
      <alignment horizontal="center"/>
    </xf>
    <xf numFmtId="0" fontId="76" fillId="0" borderId="17" xfId="0" applyFont="1" applyFill="1" applyBorder="1"/>
    <xf numFmtId="0" fontId="76" fillId="0" borderId="1" xfId="0" applyFont="1" applyFill="1" applyBorder="1" applyAlignment="1">
      <alignment horizontal="centerContinuous"/>
    </xf>
    <xf numFmtId="0" fontId="77" fillId="0" borderId="1" xfId="0" applyFont="1" applyFill="1" applyBorder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76" fillId="0" borderId="6" xfId="0" applyFont="1" applyFill="1" applyBorder="1"/>
    <xf numFmtId="0" fontId="82" fillId="0" borderId="6" xfId="0" applyFont="1" applyFill="1" applyBorder="1" applyAlignment="1">
      <alignment horizontal="right"/>
    </xf>
    <xf numFmtId="0" fontId="83" fillId="0" borderId="6" xfId="0" applyFont="1" applyFill="1" applyBorder="1" applyAlignment="1">
      <alignment horizontal="right"/>
    </xf>
    <xf numFmtId="0" fontId="77" fillId="0" borderId="6" xfId="0" applyFont="1" applyFill="1" applyBorder="1" applyAlignment="1">
      <alignment horizontal="right"/>
    </xf>
    <xf numFmtId="0" fontId="77" fillId="0" borderId="7" xfId="0" applyFont="1" applyFill="1" applyBorder="1" applyAlignment="1">
      <alignment horizontal="right"/>
    </xf>
    <xf numFmtId="0" fontId="83" fillId="0" borderId="16" xfId="0" applyFont="1" applyFill="1" applyBorder="1" applyAlignment="1">
      <alignment horizontal="right"/>
    </xf>
    <xf numFmtId="0" fontId="82" fillId="0" borderId="6" xfId="0" applyFont="1" applyFill="1" applyBorder="1" applyAlignment="1">
      <alignment horizontal="left"/>
    </xf>
    <xf numFmtId="0" fontId="82" fillId="0" borderId="6" xfId="0" applyFont="1" applyFill="1" applyBorder="1" applyAlignment="1">
      <alignment horizontal="right" wrapText="1"/>
    </xf>
    <xf numFmtId="2" fontId="85" fillId="0" borderId="0" xfId="0" applyNumberFormat="1" applyFont="1" applyFill="1" applyBorder="1" applyAlignment="1">
      <alignment horizontal="center"/>
    </xf>
    <xf numFmtId="2" fontId="24" fillId="3" borderId="0" xfId="0" applyNumberFormat="1" applyFont="1" applyFill="1" applyBorder="1" applyAlignment="1">
      <alignment horizontal="left"/>
    </xf>
    <xf numFmtId="0" fontId="29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3" fillId="0" borderId="4" xfId="0" applyNumberFormat="1" applyFont="1" applyBorder="1" applyAlignment="1" applyProtection="1">
      <alignment horizontal="center"/>
      <protection locked="0"/>
    </xf>
    <xf numFmtId="0" fontId="4" fillId="3" borderId="0" xfId="0" applyFont="1" applyFill="1" applyBorder="1" applyAlignment="1"/>
    <xf numFmtId="0" fontId="4" fillId="0" borderId="20" xfId="0" applyFont="1" applyBorder="1"/>
    <xf numFmtId="165" fontId="80" fillId="0" borderId="0" xfId="0" applyNumberFormat="1" applyFont="1" applyBorder="1" applyAlignment="1">
      <alignment horizontal="left"/>
    </xf>
    <xf numFmtId="165" fontId="14" fillId="0" borderId="1" xfId="0" applyNumberFormat="1" applyFont="1" applyBorder="1" applyAlignment="1">
      <alignment horizontal="left"/>
    </xf>
    <xf numFmtId="0" fontId="17" fillId="0" borderId="0" xfId="0" applyFont="1" applyBorder="1"/>
    <xf numFmtId="0" fontId="56" fillId="0" borderId="25" xfId="0" applyFont="1" applyFill="1" applyBorder="1" applyAlignment="1"/>
    <xf numFmtId="0" fontId="56" fillId="0" borderId="6" xfId="0" applyFont="1" applyFill="1" applyBorder="1" applyAlignment="1"/>
    <xf numFmtId="0" fontId="56" fillId="0" borderId="0" xfId="0" applyFont="1" applyFill="1" applyBorder="1" applyAlignment="1"/>
    <xf numFmtId="0" fontId="56" fillId="0" borderId="24" xfId="0" applyFont="1" applyFill="1" applyBorder="1" applyAlignment="1">
      <alignment horizontal="center"/>
    </xf>
    <xf numFmtId="0" fontId="56" fillId="0" borderId="7" xfId="0" applyFont="1" applyFill="1" applyBorder="1" applyAlignment="1"/>
    <xf numFmtId="0" fontId="3" fillId="0" borderId="24" xfId="0" applyFont="1" applyFill="1" applyBorder="1" applyAlignment="1"/>
    <xf numFmtId="4" fontId="7" fillId="0" borderId="24" xfId="0" applyNumberFormat="1" applyFont="1" applyFill="1" applyBorder="1" applyAlignment="1">
      <alignment horizontal="center"/>
    </xf>
    <xf numFmtId="0" fontId="12" fillId="0" borderId="0" xfId="0" applyNumberFormat="1" applyFont="1" applyBorder="1" applyAlignment="1" applyProtection="1">
      <alignment horizontal="center"/>
      <protection locked="0"/>
    </xf>
    <xf numFmtId="4" fontId="32" fillId="0" borderId="0" xfId="0" applyNumberFormat="1" applyFont="1" applyAlignment="1">
      <alignment horizontal="center"/>
    </xf>
    <xf numFmtId="4" fontId="32" fillId="0" borderId="0" xfId="0" applyNumberFormat="1" applyFont="1" applyBorder="1" applyAlignment="1" applyProtection="1">
      <alignment horizontal="center"/>
      <protection locked="0"/>
    </xf>
    <xf numFmtId="3" fontId="3" fillId="0" borderId="0" xfId="0" applyNumberFormat="1" applyFont="1" applyBorder="1" applyAlignment="1" applyProtection="1">
      <alignment horizontal="center"/>
      <protection locked="0"/>
    </xf>
    <xf numFmtId="166" fontId="32" fillId="0" borderId="0" xfId="0" applyNumberFormat="1" applyFont="1" applyAlignment="1">
      <alignment horizontal="center"/>
    </xf>
    <xf numFmtId="0" fontId="3" fillId="0" borderId="0" xfId="0" applyNumberFormat="1" applyFont="1" applyBorder="1" applyAlignment="1" applyProtection="1">
      <alignment horizontal="center"/>
      <protection locked="0"/>
    </xf>
    <xf numFmtId="0" fontId="12" fillId="0" borderId="4" xfId="0" applyNumberFormat="1" applyFont="1" applyBorder="1" applyAlignment="1" applyProtection="1">
      <alignment horizontal="center"/>
      <protection locked="0"/>
    </xf>
    <xf numFmtId="1" fontId="36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66" fontId="4" fillId="0" borderId="0" xfId="0" applyNumberFormat="1" applyFont="1" applyBorder="1" applyAlignment="1" applyProtection="1">
      <alignment horizontal="center"/>
      <protection locked="0"/>
    </xf>
    <xf numFmtId="166" fontId="32" fillId="0" borderId="0" xfId="0" applyNumberFormat="1" applyFont="1" applyBorder="1" applyAlignment="1" applyProtection="1">
      <alignment horizontal="center"/>
      <protection locked="0"/>
    </xf>
    <xf numFmtId="4" fontId="3" fillId="0" borderId="4" xfId="0" applyNumberFormat="1" applyFont="1" applyBorder="1" applyAlignment="1" applyProtection="1">
      <alignment horizontal="center"/>
      <protection locked="0"/>
    </xf>
    <xf numFmtId="4" fontId="61" fillId="0" borderId="0" xfId="0" applyNumberFormat="1" applyFont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3" fontId="10" fillId="0" borderId="24" xfId="0" applyNumberFormat="1" applyFont="1" applyFill="1" applyBorder="1" applyAlignment="1">
      <alignment horizontal="center"/>
    </xf>
    <xf numFmtId="4" fontId="36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right"/>
    </xf>
    <xf numFmtId="4" fontId="4" fillId="0" borderId="4" xfId="0" applyNumberFormat="1" applyFont="1" applyBorder="1"/>
    <xf numFmtId="4" fontId="3" fillId="0" borderId="4" xfId="0" applyNumberFormat="1" applyFont="1" applyBorder="1"/>
    <xf numFmtId="0" fontId="10" fillId="0" borderId="24" xfId="0" applyFont="1" applyFill="1" applyBorder="1" applyAlignment="1">
      <alignment horizontal="center"/>
    </xf>
    <xf numFmtId="1" fontId="3" fillId="0" borderId="36" xfId="0" applyNumberFormat="1" applyFont="1" applyBorder="1" applyAlignment="1" applyProtection="1">
      <alignment horizontal="center"/>
      <protection locked="0"/>
    </xf>
    <xf numFmtId="0" fontId="3" fillId="0" borderId="5" xfId="0" applyNumberFormat="1" applyFont="1" applyBorder="1" applyAlignment="1" applyProtection="1">
      <alignment horizontal="center"/>
      <protection locked="0"/>
    </xf>
    <xf numFmtId="0" fontId="3" fillId="0" borderId="12" xfId="0" applyNumberFormat="1" applyFont="1" applyBorder="1" applyAlignment="1" applyProtection="1">
      <alignment horizontal="center"/>
      <protection locked="0"/>
    </xf>
    <xf numFmtId="1" fontId="4" fillId="0" borderId="5" xfId="0" applyNumberFormat="1" applyFont="1" applyBorder="1" applyAlignment="1" applyProtection="1">
      <alignment horizontal="center"/>
      <protection locked="0"/>
    </xf>
    <xf numFmtId="1" fontId="4" fillId="0" borderId="10" xfId="0" applyNumberFormat="1" applyFont="1" applyBorder="1" applyAlignment="1" applyProtection="1">
      <alignment horizontal="center"/>
      <protection locked="0"/>
    </xf>
    <xf numFmtId="0" fontId="4" fillId="0" borderId="5" xfId="0" applyNumberFormat="1" applyFont="1" applyBorder="1" applyAlignment="1" applyProtection="1">
      <alignment horizontal="center"/>
      <protection locked="0"/>
    </xf>
    <xf numFmtId="0" fontId="4" fillId="0" borderId="12" xfId="0" applyNumberFormat="1" applyFont="1" applyBorder="1" applyAlignment="1" applyProtection="1">
      <alignment horizontal="center"/>
      <protection locked="0"/>
    </xf>
    <xf numFmtId="0" fontId="4" fillId="0" borderId="10" xfId="0" applyNumberFormat="1" applyFont="1" applyBorder="1" applyAlignment="1" applyProtection="1">
      <alignment horizontal="center"/>
      <protection locked="0"/>
    </xf>
    <xf numFmtId="0" fontId="4" fillId="0" borderId="1" xfId="0" applyNumberFormat="1" applyFont="1" applyBorder="1" applyAlignment="1" applyProtection="1">
      <alignment horizontal="center"/>
      <protection locked="0"/>
    </xf>
    <xf numFmtId="0" fontId="4" fillId="0" borderId="14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6" xfId="0" applyNumberFormat="1" applyFont="1" applyFill="1" applyBorder="1"/>
    <xf numFmtId="0" fontId="4" fillId="0" borderId="0" xfId="0" applyNumberFormat="1" applyFont="1" applyFill="1" applyBorder="1"/>
    <xf numFmtId="0" fontId="32" fillId="0" borderId="0" xfId="0" applyNumberFormat="1" applyFont="1" applyFill="1" applyBorder="1"/>
    <xf numFmtId="0" fontId="36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right"/>
    </xf>
    <xf numFmtId="0" fontId="4" fillId="0" borderId="0" xfId="0" applyNumberFormat="1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Border="1" applyAlignment="1">
      <alignment horizontal="right"/>
    </xf>
    <xf numFmtId="0" fontId="4" fillId="0" borderId="6" xfId="0" applyNumberFormat="1" applyFont="1" applyFill="1" applyBorder="1" applyAlignment="1"/>
    <xf numFmtId="0" fontId="4" fillId="0" borderId="0" xfId="0" applyNumberFormat="1" applyFont="1" applyFill="1" applyBorder="1" applyAlignment="1"/>
    <xf numFmtId="0" fontId="42" fillId="0" borderId="0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32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/>
    <xf numFmtId="0" fontId="4" fillId="0" borderId="0" xfId="0" applyNumberFormat="1" applyFont="1" applyBorder="1"/>
    <xf numFmtId="0" fontId="4" fillId="0" borderId="7" xfId="0" applyNumberFormat="1" applyFont="1" applyFill="1" applyBorder="1"/>
    <xf numFmtId="0" fontId="4" fillId="0" borderId="4" xfId="0" applyNumberFormat="1" applyFont="1" applyFill="1" applyBorder="1"/>
    <xf numFmtId="0" fontId="3" fillId="0" borderId="4" xfId="0" applyNumberFormat="1" applyFont="1" applyFill="1" applyBorder="1" applyAlignment="1">
      <alignment horizontal="center"/>
    </xf>
    <xf numFmtId="4" fontId="3" fillId="0" borderId="0" xfId="0" applyNumberFormat="1" applyFont="1" applyFill="1" applyBorder="1"/>
    <xf numFmtId="166" fontId="32" fillId="0" borderId="12" xfId="0" applyNumberFormat="1" applyFont="1" applyBorder="1" applyAlignment="1" applyProtection="1">
      <alignment horizontal="center"/>
      <protection locked="0"/>
    </xf>
    <xf numFmtId="166" fontId="32" fillId="0" borderId="1" xfId="0" applyNumberFormat="1" applyFont="1" applyBorder="1" applyAlignment="1" applyProtection="1">
      <alignment horizontal="center"/>
      <protection locked="0"/>
    </xf>
    <xf numFmtId="166" fontId="32" fillId="0" borderId="14" xfId="0" applyNumberFormat="1" applyFont="1" applyBorder="1" applyAlignment="1" applyProtection="1">
      <alignment horizontal="center"/>
      <protection locked="0"/>
    </xf>
    <xf numFmtId="166" fontId="36" fillId="0" borderId="0" xfId="0" applyNumberFormat="1" applyFont="1" applyBorder="1" applyAlignment="1" applyProtection="1">
      <alignment horizontal="center"/>
      <protection locked="0"/>
    </xf>
    <xf numFmtId="0" fontId="42" fillId="0" borderId="24" xfId="0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right"/>
    </xf>
    <xf numFmtId="0" fontId="4" fillId="0" borderId="24" xfId="0" applyNumberFormat="1" applyFont="1" applyFill="1" applyBorder="1"/>
    <xf numFmtId="0" fontId="4" fillId="0" borderId="4" xfId="0" applyNumberFormat="1" applyFont="1" applyBorder="1"/>
    <xf numFmtId="0" fontId="4" fillId="0" borderId="4" xfId="0" applyNumberFormat="1" applyFont="1" applyBorder="1" applyAlignment="1">
      <alignment horizontal="right"/>
    </xf>
    <xf numFmtId="0" fontId="4" fillId="0" borderId="4" xfId="0" applyNumberFormat="1" applyFont="1" applyBorder="1" applyAlignment="1">
      <alignment horizontal="center"/>
    </xf>
    <xf numFmtId="0" fontId="4" fillId="0" borderId="26" xfId="0" applyNumberFormat="1" applyFont="1" applyFill="1" applyBorder="1"/>
    <xf numFmtId="0" fontId="42" fillId="0" borderId="25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Continuous"/>
    </xf>
    <xf numFmtId="0" fontId="3" fillId="0" borderId="24" xfId="0" applyFont="1" applyFill="1" applyBorder="1"/>
    <xf numFmtId="0" fontId="56" fillId="0" borderId="24" xfId="0" applyFont="1" applyFill="1" applyBorder="1"/>
    <xf numFmtId="0" fontId="56" fillId="0" borderId="24" xfId="0" applyFont="1" applyFill="1" applyBorder="1" applyAlignment="1">
      <alignment horizontal="left"/>
    </xf>
    <xf numFmtId="0" fontId="4" fillId="0" borderId="24" xfId="0" applyFont="1" applyFill="1" applyBorder="1" applyAlignment="1">
      <alignment horizontal="left"/>
    </xf>
    <xf numFmtId="173" fontId="32" fillId="0" borderId="24" xfId="0" applyNumberFormat="1" applyFont="1" applyFill="1" applyBorder="1"/>
    <xf numFmtId="167" fontId="32" fillId="0" borderId="24" xfId="0" applyNumberFormat="1" applyFont="1" applyFill="1" applyBorder="1" applyAlignment="1">
      <alignment horizontal="center"/>
    </xf>
    <xf numFmtId="0" fontId="4" fillId="0" borderId="40" xfId="0" applyFont="1" applyFill="1" applyBorder="1"/>
    <xf numFmtId="164" fontId="4" fillId="0" borderId="24" xfId="0" applyNumberFormat="1" applyFont="1" applyFill="1" applyBorder="1"/>
    <xf numFmtId="1" fontId="3" fillId="0" borderId="26" xfId="0" applyNumberFormat="1" applyFont="1" applyFill="1" applyBorder="1" applyAlignment="1">
      <alignment horizontal="center"/>
    </xf>
    <xf numFmtId="2" fontId="40" fillId="0" borderId="0" xfId="0" applyNumberFormat="1" applyFont="1" applyFill="1" applyBorder="1" applyAlignment="1">
      <alignment horizontal="left"/>
    </xf>
    <xf numFmtId="0" fontId="10" fillId="0" borderId="12" xfId="0" applyFont="1" applyFill="1" applyBorder="1" applyAlignment="1">
      <alignment horizontal="center"/>
    </xf>
    <xf numFmtId="0" fontId="56" fillId="0" borderId="28" xfId="0" applyFont="1" applyFill="1" applyBorder="1" applyAlignment="1"/>
    <xf numFmtId="0" fontId="40" fillId="0" borderId="42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4" fillId="0" borderId="19" xfId="0" applyNumberFormat="1" applyFont="1" applyBorder="1" applyAlignment="1" applyProtection="1">
      <alignment horizontal="center"/>
      <protection locked="0"/>
    </xf>
    <xf numFmtId="0" fontId="4" fillId="0" borderId="28" xfId="0" applyNumberFormat="1" applyFont="1" applyBorder="1" applyAlignment="1" applyProtection="1">
      <alignment horizontal="center"/>
      <protection locked="0"/>
    </xf>
    <xf numFmtId="0" fontId="4" fillId="0" borderId="4" xfId="0" applyNumberFormat="1" applyFont="1" applyBorder="1" applyAlignment="1" applyProtection="1">
      <alignment horizontal="center"/>
      <protection locked="0"/>
    </xf>
    <xf numFmtId="0" fontId="4" fillId="0" borderId="42" xfId="0" applyNumberFormat="1" applyFont="1" applyBorder="1" applyAlignment="1" applyProtection="1">
      <alignment horizontal="center"/>
      <protection locked="0"/>
    </xf>
    <xf numFmtId="0" fontId="42" fillId="0" borderId="21" xfId="0" applyFont="1" applyFill="1" applyBorder="1" applyAlignment="1">
      <alignment horizontal="center"/>
    </xf>
    <xf numFmtId="0" fontId="32" fillId="0" borderId="0" xfId="0" applyNumberFormat="1" applyFont="1" applyFill="1" applyBorder="1" applyAlignment="1"/>
    <xf numFmtId="0" fontId="56" fillId="0" borderId="6" xfId="0" applyFont="1" applyFill="1" applyBorder="1"/>
    <xf numFmtId="0" fontId="76" fillId="0" borderId="7" xfId="0" applyFont="1" applyFill="1" applyBorder="1" applyAlignment="1">
      <alignment horizontal="left"/>
    </xf>
    <xf numFmtId="4" fontId="12" fillId="0" borderId="0" xfId="0" applyNumberFormat="1" applyFont="1" applyFill="1" applyBorder="1" applyAlignment="1">
      <alignment horizontal="right"/>
    </xf>
    <xf numFmtId="17" fontId="87" fillId="0" borderId="0" xfId="0" applyNumberFormat="1" applyFont="1" applyAlignment="1">
      <alignment horizontal="center"/>
    </xf>
    <xf numFmtId="2" fontId="73" fillId="0" borderId="0" xfId="0" applyNumberFormat="1" applyFont="1" applyFill="1" applyBorder="1" applyAlignment="1">
      <alignment horizontal="center"/>
    </xf>
    <xf numFmtId="2" fontId="73" fillId="0" borderId="1" xfId="0" applyNumberFormat="1" applyFont="1" applyFill="1" applyBorder="1" applyAlignment="1">
      <alignment horizontal="center"/>
    </xf>
    <xf numFmtId="164" fontId="74" fillId="0" borderId="0" xfId="0" applyNumberFormat="1" applyFont="1" applyFill="1" applyBorder="1"/>
    <xf numFmtId="8" fontId="11" fillId="0" borderId="0" xfId="0" applyNumberFormat="1" applyFont="1" applyBorder="1"/>
    <xf numFmtId="8" fontId="14" fillId="0" borderId="0" xfId="0" applyNumberFormat="1" applyFont="1" applyBorder="1"/>
    <xf numFmtId="0" fontId="14" fillId="0" borderId="0" xfId="0" applyFont="1" applyBorder="1"/>
    <xf numFmtId="164" fontId="36" fillId="0" borderId="0" xfId="0" applyNumberFormat="1" applyFont="1" applyFill="1" applyBorder="1" applyAlignment="1">
      <alignment horizontal="center"/>
    </xf>
    <xf numFmtId="3" fontId="24" fillId="0" borderId="24" xfId="0" applyNumberFormat="1" applyFont="1" applyFill="1" applyBorder="1" applyAlignment="1">
      <alignment horizontal="center"/>
    </xf>
    <xf numFmtId="166" fontId="36" fillId="0" borderId="0" xfId="0" applyNumberFormat="1" applyFont="1" applyBorder="1" applyAlignment="1">
      <alignment horizontal="center"/>
    </xf>
    <xf numFmtId="0" fontId="4" fillId="0" borderId="39" xfId="0" applyNumberFormat="1" applyFont="1" applyBorder="1" applyAlignment="1" applyProtection="1">
      <alignment horizontal="center"/>
      <protection locked="0"/>
    </xf>
    <xf numFmtId="177" fontId="4" fillId="0" borderId="0" xfId="0" applyNumberFormat="1" applyFont="1" applyFill="1" applyBorder="1" applyAlignment="1">
      <alignment horizontal="center"/>
    </xf>
    <xf numFmtId="7" fontId="74" fillId="0" borderId="24" xfId="0" applyNumberFormat="1" applyFont="1" applyFill="1" applyBorder="1" applyAlignment="1">
      <alignment horizontal="right"/>
    </xf>
    <xf numFmtId="7" fontId="74" fillId="0" borderId="24" xfId="0" applyNumberFormat="1" applyFont="1" applyFill="1" applyBorder="1"/>
    <xf numFmtId="7" fontId="36" fillId="0" borderId="0" xfId="0" applyNumberFormat="1" applyFont="1" applyBorder="1"/>
    <xf numFmtId="0" fontId="88" fillId="6" borderId="22" xfId="0" applyFont="1" applyFill="1" applyBorder="1" applyAlignment="1">
      <alignment horizontal="center"/>
    </xf>
    <xf numFmtId="0" fontId="89" fillId="0" borderId="20" xfId="0" applyFont="1" applyFill="1" applyBorder="1" applyAlignment="1">
      <alignment horizontal="center"/>
    </xf>
    <xf numFmtId="0" fontId="89" fillId="0" borderId="20" xfId="0" quotePrefix="1" applyFont="1" applyFill="1" applyBorder="1" applyAlignment="1">
      <alignment horizontal="center"/>
    </xf>
    <xf numFmtId="0" fontId="89" fillId="0" borderId="21" xfId="0" applyFont="1" applyFill="1" applyBorder="1" applyAlignment="1">
      <alignment horizontal="center"/>
    </xf>
    <xf numFmtId="0" fontId="89" fillId="0" borderId="1" xfId="0" applyFont="1" applyFill="1" applyBorder="1" applyAlignment="1">
      <alignment horizontal="center"/>
    </xf>
    <xf numFmtId="0" fontId="56" fillId="0" borderId="0" xfId="0" applyFont="1" applyFill="1" applyBorder="1" applyAlignment="1">
      <alignment horizontal="left"/>
    </xf>
    <xf numFmtId="1" fontId="92" fillId="8" borderId="24" xfId="0" applyNumberFormat="1" applyFont="1" applyFill="1" applyBorder="1" applyAlignment="1">
      <alignment horizontal="center"/>
    </xf>
    <xf numFmtId="164" fontId="18" fillId="0" borderId="0" xfId="0" applyNumberFormat="1" applyFont="1" applyFill="1"/>
    <xf numFmtId="166" fontId="36" fillId="0" borderId="0" xfId="0" applyNumberFormat="1" applyFont="1" applyAlignment="1">
      <alignment horizontal="center"/>
    </xf>
    <xf numFmtId="49" fontId="79" fillId="0" borderId="0" xfId="0" applyNumberFormat="1" applyFont="1" applyFill="1" applyBorder="1" applyAlignment="1">
      <alignment horizontal="right"/>
    </xf>
    <xf numFmtId="0" fontId="79" fillId="0" borderId="0" xfId="0" applyFont="1" applyFill="1" applyBorder="1" applyAlignment="1">
      <alignment horizontal="right"/>
    </xf>
    <xf numFmtId="49" fontId="79" fillId="0" borderId="6" xfId="0" applyNumberFormat="1" applyFont="1" applyFill="1" applyBorder="1" applyAlignment="1">
      <alignment horizontal="right"/>
    </xf>
    <xf numFmtId="0" fontId="56" fillId="0" borderId="6" xfId="0" applyFont="1" applyFill="1" applyBorder="1" applyAlignment="1">
      <alignment horizontal="right"/>
    </xf>
    <xf numFmtId="0" fontId="56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13" fillId="0" borderId="1" xfId="0" applyFont="1" applyBorder="1" applyAlignment="1">
      <alignment horizontal="right" wrapText="1"/>
    </xf>
    <xf numFmtId="4" fontId="12" fillId="0" borderId="1" xfId="0" applyNumberFormat="1" applyFont="1" applyFill="1" applyBorder="1" applyAlignment="1">
      <alignment horizontal="right"/>
    </xf>
    <xf numFmtId="0" fontId="93" fillId="0" borderId="0" xfId="0" applyFont="1"/>
    <xf numFmtId="0" fontId="94" fillId="0" borderId="0" xfId="0" applyFont="1"/>
    <xf numFmtId="0" fontId="93" fillId="0" borderId="0" xfId="0" applyFont="1" applyAlignment="1">
      <alignment horizontal="center"/>
    </xf>
    <xf numFmtId="2" fontId="94" fillId="0" borderId="0" xfId="0" applyNumberFormat="1" applyFont="1"/>
    <xf numFmtId="0" fontId="95" fillId="0" borderId="0" xfId="0" applyFont="1"/>
    <xf numFmtId="0" fontId="96" fillId="0" borderId="0" xfId="0" applyFont="1"/>
    <xf numFmtId="0" fontId="97" fillId="0" borderId="1" xfId="0" applyFont="1" applyBorder="1"/>
    <xf numFmtId="0" fontId="94" fillId="0" borderId="1" xfId="0" applyFont="1" applyBorder="1"/>
    <xf numFmtId="0" fontId="94" fillId="0" borderId="0" xfId="0" applyFont="1" applyAlignment="1">
      <alignment horizontal="right"/>
    </xf>
    <xf numFmtId="2" fontId="94" fillId="0" borderId="0" xfId="0" applyNumberFormat="1" applyFont="1" applyAlignment="1">
      <alignment horizontal="center"/>
    </xf>
    <xf numFmtId="0" fontId="98" fillId="0" borderId="0" xfId="0" applyFont="1"/>
    <xf numFmtId="2" fontId="98" fillId="0" borderId="0" xfId="0" applyNumberFormat="1" applyFont="1"/>
    <xf numFmtId="0" fontId="99" fillId="0" borderId="0" xfId="0" applyFont="1"/>
    <xf numFmtId="0" fontId="99" fillId="0" borderId="0" xfId="0" applyFont="1" applyAlignment="1">
      <alignment horizontal="center"/>
    </xf>
    <xf numFmtId="0" fontId="3" fillId="0" borderId="0" xfId="0" applyNumberFormat="1" applyFont="1" applyBorder="1" applyAlignment="1" applyProtection="1">
      <protection locked="0"/>
    </xf>
    <xf numFmtId="1" fontId="40" fillId="0" borderId="0" xfId="0" applyNumberFormat="1" applyFont="1" applyAlignment="1">
      <alignment horizontal="center"/>
    </xf>
    <xf numFmtId="0" fontId="76" fillId="0" borderId="20" xfId="0" applyFont="1" applyFill="1" applyBorder="1" applyAlignment="1">
      <alignment horizontal="right"/>
    </xf>
    <xf numFmtId="0" fontId="76" fillId="0" borderId="22" xfId="0" applyFont="1" applyFill="1" applyBorder="1" applyAlignment="1">
      <alignment horizontal="right"/>
    </xf>
    <xf numFmtId="0" fontId="56" fillId="0" borderId="6" xfId="0" applyFont="1" applyFill="1" applyBorder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00" fillId="0" borderId="0" xfId="0" applyFont="1" applyFill="1" applyBorder="1"/>
    <xf numFmtId="17" fontId="101" fillId="0" borderId="16" xfId="0" applyNumberFormat="1" applyFont="1" applyFill="1" applyBorder="1" applyAlignment="1">
      <alignment horizontal="right"/>
    </xf>
    <xf numFmtId="0" fontId="104" fillId="0" borderId="5" xfId="0" applyFont="1" applyFill="1" applyBorder="1" applyAlignment="1">
      <alignment horizontal="right" wrapText="1"/>
    </xf>
    <xf numFmtId="0" fontId="102" fillId="0" borderId="5" xfId="0" applyFont="1" applyFill="1" applyBorder="1" applyAlignment="1">
      <alignment horizontal="right"/>
    </xf>
    <xf numFmtId="4" fontId="105" fillId="0" borderId="0" xfId="0" applyNumberFormat="1" applyFont="1" applyFill="1" applyBorder="1" applyAlignment="1">
      <alignment horizontal="center"/>
    </xf>
    <xf numFmtId="167" fontId="72" fillId="0" borderId="39" xfId="0" applyNumberFormat="1" applyFont="1" applyFill="1" applyBorder="1" applyAlignment="1">
      <alignment horizontal="center"/>
    </xf>
    <xf numFmtId="0" fontId="76" fillId="6" borderId="47" xfId="0" applyFont="1" applyFill="1" applyBorder="1" applyAlignment="1">
      <alignment horizontal="center"/>
    </xf>
    <xf numFmtId="17" fontId="40" fillId="0" borderId="40" xfId="0" applyNumberFormat="1" applyFont="1" applyFill="1" applyBorder="1" applyAlignment="1">
      <alignment horizontal="center"/>
    </xf>
    <xf numFmtId="0" fontId="76" fillId="0" borderId="40" xfId="0" applyFont="1" applyFill="1" applyBorder="1" applyAlignment="1">
      <alignment horizontal="center"/>
    </xf>
    <xf numFmtId="166" fontId="72" fillId="0" borderId="24" xfId="0" applyNumberFormat="1" applyFont="1" applyFill="1" applyBorder="1" applyAlignment="1">
      <alignment horizontal="center"/>
    </xf>
    <xf numFmtId="166" fontId="76" fillId="0" borderId="24" xfId="0" applyNumberFormat="1" applyFont="1" applyFill="1" applyBorder="1" applyAlignment="1">
      <alignment horizontal="center"/>
    </xf>
    <xf numFmtId="0" fontId="76" fillId="6" borderId="49" xfId="0" applyFont="1" applyFill="1" applyBorder="1" applyAlignment="1">
      <alignment horizontal="center"/>
    </xf>
    <xf numFmtId="17" fontId="40" fillId="0" borderId="24" xfId="0" applyNumberFormat="1" applyFont="1" applyFill="1" applyBorder="1" applyAlignment="1">
      <alignment horizontal="center"/>
    </xf>
    <xf numFmtId="166" fontId="10" fillId="0" borderId="24" xfId="0" applyNumberFormat="1" applyFont="1" applyFill="1" applyBorder="1" applyAlignment="1">
      <alignment horizontal="center"/>
    </xf>
    <xf numFmtId="167" fontId="10" fillId="0" borderId="39" xfId="0" applyNumberFormat="1" applyFont="1" applyFill="1" applyBorder="1" applyAlignment="1">
      <alignment horizontal="center"/>
    </xf>
    <xf numFmtId="4" fontId="3" fillId="0" borderId="1" xfId="0" applyNumberFormat="1" applyFont="1" applyFill="1" applyBorder="1"/>
    <xf numFmtId="174" fontId="32" fillId="0" borderId="0" xfId="0" applyNumberFormat="1" applyFont="1" applyBorder="1" applyAlignment="1">
      <alignment horizontal="center"/>
    </xf>
    <xf numFmtId="0" fontId="77" fillId="0" borderId="0" xfId="0" applyFont="1" applyBorder="1" applyAlignment="1">
      <alignment horizontal="right"/>
    </xf>
    <xf numFmtId="0" fontId="4" fillId="0" borderId="16" xfId="0" applyNumberFormat="1" applyFont="1" applyBorder="1" applyAlignment="1" applyProtection="1">
      <alignment horizontal="center"/>
      <protection locked="0"/>
    </xf>
    <xf numFmtId="166" fontId="36" fillId="0" borderId="17" xfId="0" applyNumberFormat="1" applyFont="1" applyBorder="1" applyAlignment="1" applyProtection="1">
      <alignment horizontal="center"/>
      <protection locked="0"/>
    </xf>
    <xf numFmtId="166" fontId="36" fillId="0" borderId="18" xfId="0" applyNumberFormat="1" applyFont="1" applyBorder="1" applyAlignment="1" applyProtection="1">
      <alignment horizontal="center"/>
      <protection locked="0"/>
    </xf>
    <xf numFmtId="0" fontId="4" fillId="0" borderId="5" xfId="0" applyNumberFormat="1" applyFont="1" applyBorder="1" applyAlignment="1" applyProtection="1">
      <protection locked="0"/>
    </xf>
    <xf numFmtId="178" fontId="73" fillId="0" borderId="0" xfId="0" applyNumberFormat="1" applyFont="1" applyFill="1" applyBorder="1"/>
    <xf numFmtId="164" fontId="74" fillId="0" borderId="19" xfId="0" applyNumberFormat="1" applyFont="1" applyFill="1" applyBorder="1"/>
    <xf numFmtId="164" fontId="32" fillId="0" borderId="0" xfId="0" applyNumberFormat="1" applyFont="1" applyBorder="1" applyAlignment="1">
      <alignment horizontal="center"/>
    </xf>
    <xf numFmtId="164" fontId="36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3" borderId="22" xfId="0" applyFont="1" applyFill="1" applyBorder="1"/>
    <xf numFmtId="0" fontId="4" fillId="3" borderId="20" xfId="0" applyFont="1" applyFill="1" applyBorder="1"/>
    <xf numFmtId="2" fontId="7" fillId="0" borderId="0" xfId="0" applyNumberFormat="1" applyFont="1" applyBorder="1" applyAlignment="1">
      <alignment horizontal="centerContinuous"/>
    </xf>
    <xf numFmtId="0" fontId="37" fillId="0" borderId="0" xfId="0" applyFont="1" applyBorder="1" applyAlignment="1">
      <alignment horizontal="centerContinuous"/>
    </xf>
    <xf numFmtId="0" fontId="10" fillId="0" borderId="0" xfId="0" applyFont="1" applyBorder="1" applyAlignment="1">
      <alignment horizontal="centerContinuous"/>
    </xf>
    <xf numFmtId="0" fontId="4" fillId="0" borderId="12" xfId="0" applyFont="1" applyBorder="1"/>
    <xf numFmtId="0" fontId="4" fillId="0" borderId="14" xfId="0" applyFont="1" applyBorder="1"/>
    <xf numFmtId="2" fontId="4" fillId="0" borderId="0" xfId="0" applyNumberFormat="1" applyFont="1" applyBorder="1"/>
    <xf numFmtId="164" fontId="20" fillId="0" borderId="0" xfId="0" applyNumberFormat="1" applyFont="1" applyBorder="1" applyAlignment="1">
      <alignment horizontal="right" vertical="top"/>
    </xf>
    <xf numFmtId="0" fontId="7" fillId="0" borderId="0" xfId="0" applyFont="1" applyBorder="1" applyAlignment="1">
      <alignment horizontal="centerContinuous"/>
    </xf>
    <xf numFmtId="164" fontId="36" fillId="0" borderId="0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64" fontId="12" fillId="0" borderId="1" xfId="0" quotePrefix="1" applyNumberFormat="1" applyFont="1" applyFill="1" applyBorder="1"/>
    <xf numFmtId="0" fontId="12" fillId="0" borderId="0" xfId="0" applyFont="1"/>
    <xf numFmtId="164" fontId="38" fillId="0" borderId="1" xfId="0" quotePrefix="1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4" fontId="32" fillId="0" borderId="16" xfId="0" applyNumberFormat="1" applyFont="1" applyBorder="1"/>
    <xf numFmtId="164" fontId="32" fillId="0" borderId="10" xfId="0" applyNumberFormat="1" applyFont="1" applyBorder="1"/>
    <xf numFmtId="164" fontId="32" fillId="0" borderId="5" xfId="0" applyNumberFormat="1" applyFont="1" applyBorder="1"/>
    <xf numFmtId="164" fontId="32" fillId="0" borderId="12" xfId="0" applyNumberFormat="1" applyFont="1" applyBorder="1" applyAlignment="1">
      <alignment horizontal="center"/>
    </xf>
    <xf numFmtId="164" fontId="36" fillId="0" borderId="14" xfId="0" applyNumberFormat="1" applyFont="1" applyFill="1" applyBorder="1" applyAlignment="1">
      <alignment horizontal="center"/>
    </xf>
    <xf numFmtId="164" fontId="36" fillId="0" borderId="12" xfId="0" applyNumberFormat="1" applyFont="1" applyFill="1" applyBorder="1" applyAlignment="1">
      <alignment horizontal="center"/>
    </xf>
    <xf numFmtId="0" fontId="3" fillId="0" borderId="51" xfId="0" applyFont="1" applyBorder="1"/>
    <xf numFmtId="164" fontId="36" fillId="0" borderId="14" xfId="0" applyNumberFormat="1" applyFont="1" applyBorder="1" applyAlignment="1">
      <alignment horizontal="center"/>
    </xf>
    <xf numFmtId="164" fontId="36" fillId="0" borderId="12" xfId="0" applyNumberFormat="1" applyFont="1" applyBorder="1" applyAlignment="1">
      <alignment horizontal="center"/>
    </xf>
    <xf numFmtId="0" fontId="3" fillId="0" borderId="51" xfId="0" applyFont="1" applyBorder="1" applyAlignment="1">
      <alignment horizontal="center" wrapText="1"/>
    </xf>
    <xf numFmtId="0" fontId="4" fillId="0" borderId="55" xfId="0" applyFont="1" applyBorder="1"/>
    <xf numFmtId="0" fontId="37" fillId="0" borderId="56" xfId="0" applyFont="1" applyBorder="1" applyAlignment="1">
      <alignment horizontal="centerContinuous"/>
    </xf>
    <xf numFmtId="0" fontId="4" fillId="0" borderId="56" xfId="0" applyFont="1" applyBorder="1"/>
    <xf numFmtId="0" fontId="3" fillId="0" borderId="57" xfId="0" applyFont="1" applyBorder="1"/>
    <xf numFmtId="0" fontId="3" fillId="0" borderId="58" xfId="0" applyFont="1" applyBorder="1"/>
    <xf numFmtId="0" fontId="3" fillId="0" borderId="55" xfId="0" applyFont="1" applyBorder="1"/>
    <xf numFmtId="0" fontId="3" fillId="0" borderId="56" xfId="0" applyFont="1" applyBorder="1"/>
    <xf numFmtId="0" fontId="3" fillId="0" borderId="59" xfId="0" applyFont="1" applyBorder="1"/>
    <xf numFmtId="0" fontId="4" fillId="0" borderId="60" xfId="0" applyFont="1" applyBorder="1"/>
    <xf numFmtId="0" fontId="3" fillId="0" borderId="55" xfId="0" quotePrefix="1" applyFont="1" applyBorder="1"/>
    <xf numFmtId="164" fontId="32" fillId="0" borderId="56" xfId="0" applyNumberFormat="1" applyFont="1" applyBorder="1"/>
    <xf numFmtId="164" fontId="32" fillId="0" borderId="60" xfId="0" applyNumberFormat="1" applyFont="1" applyBorder="1"/>
    <xf numFmtId="164" fontId="36" fillId="0" borderId="56" xfId="0" applyNumberFormat="1" applyFont="1" applyFill="1" applyBorder="1"/>
    <xf numFmtId="0" fontId="7" fillId="0" borderId="55" xfId="0" quotePrefix="1" applyFont="1" applyBorder="1"/>
    <xf numFmtId="0" fontId="3" fillId="0" borderId="59" xfId="0" quotePrefix="1" applyFont="1" applyBorder="1"/>
    <xf numFmtId="0" fontId="11" fillId="0" borderId="55" xfId="0" applyFont="1" applyBorder="1"/>
    <xf numFmtId="0" fontId="4" fillId="0" borderId="61" xfId="0" applyFont="1" applyBorder="1"/>
    <xf numFmtId="0" fontId="4" fillId="0" borderId="62" xfId="0" applyFont="1" applyBorder="1"/>
    <xf numFmtId="0" fontId="3" fillId="0" borderId="62" xfId="0" applyFont="1" applyBorder="1"/>
    <xf numFmtId="0" fontId="4" fillId="0" borderId="63" xfId="0" applyFont="1" applyBorder="1"/>
    <xf numFmtId="164" fontId="32" fillId="0" borderId="12" xfId="0" applyNumberFormat="1" applyFont="1" applyFill="1" applyBorder="1" applyAlignment="1">
      <alignment horizontal="right"/>
    </xf>
    <xf numFmtId="164" fontId="36" fillId="0" borderId="12" xfId="0" applyNumberFormat="1" applyFont="1" applyFill="1" applyBorder="1"/>
    <xf numFmtId="164" fontId="0" fillId="0" borderId="0" xfId="0" applyNumberFormat="1"/>
    <xf numFmtId="0" fontId="11" fillId="0" borderId="0" xfId="0" applyNumberFormat="1" applyFont="1" applyBorder="1" applyAlignment="1">
      <alignment horizontal="left"/>
    </xf>
    <xf numFmtId="164" fontId="100" fillId="0" borderId="0" xfId="0" applyNumberFormat="1" applyFont="1" applyFill="1" applyBorder="1"/>
    <xf numFmtId="7" fontId="4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4" fillId="0" borderId="0" xfId="0" applyNumberFormat="1" applyFont="1" applyFill="1" applyBorder="1" applyAlignment="1" applyProtection="1">
      <protection locked="0"/>
    </xf>
    <xf numFmtId="3" fontId="3" fillId="0" borderId="0" xfId="0" applyNumberFormat="1" applyFont="1" applyFill="1" applyBorder="1" applyAlignment="1" applyProtection="1">
      <alignment horizontal="center"/>
      <protection locked="0"/>
    </xf>
    <xf numFmtId="3" fontId="3" fillId="0" borderId="0" xfId="0" applyNumberFormat="1" applyFont="1" applyFill="1" applyAlignment="1">
      <alignment horizontal="center"/>
    </xf>
    <xf numFmtId="4" fontId="11" fillId="0" borderId="1" xfId="0" quotePrefix="1" applyNumberFormat="1" applyFont="1" applyBorder="1" applyAlignment="1">
      <alignment horizontal="center"/>
    </xf>
    <xf numFmtId="1" fontId="4" fillId="0" borderId="18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2" fontId="25" fillId="0" borderId="1" xfId="0" applyNumberFormat="1" applyFont="1" applyFill="1" applyBorder="1" applyAlignment="1">
      <alignment horizontal="center"/>
    </xf>
    <xf numFmtId="0" fontId="4" fillId="0" borderId="16" xfId="0" applyFont="1" applyBorder="1"/>
    <xf numFmtId="0" fontId="7" fillId="0" borderId="17" xfId="0" applyFont="1" applyBorder="1" applyAlignment="1">
      <alignment horizontal="left"/>
    </xf>
    <xf numFmtId="0" fontId="4" fillId="0" borderId="17" xfId="0" applyFont="1" applyBorder="1" applyAlignment="1">
      <alignment horizontal="right"/>
    </xf>
    <xf numFmtId="0" fontId="4" fillId="0" borderId="18" xfId="0" applyFont="1" applyBorder="1"/>
    <xf numFmtId="0" fontId="11" fillId="0" borderId="12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2" fontId="25" fillId="0" borderId="12" xfId="0" applyNumberFormat="1" applyFont="1" applyFill="1" applyBorder="1" applyAlignment="1">
      <alignment horizontal="center"/>
    </xf>
    <xf numFmtId="0" fontId="25" fillId="0" borderId="12" xfId="0" applyFont="1" applyBorder="1" applyAlignment="1">
      <alignment horizontal="center"/>
    </xf>
    <xf numFmtId="14" fontId="25" fillId="0" borderId="12" xfId="0" applyNumberFormat="1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9" fillId="0" borderId="12" xfId="0" applyFont="1" applyBorder="1" applyAlignment="1">
      <alignment horizontal="left"/>
    </xf>
    <xf numFmtId="0" fontId="4" fillId="0" borderId="10" xfId="0" applyFont="1" applyBorder="1"/>
    <xf numFmtId="0" fontId="4" fillId="0" borderId="1" xfId="0" applyFont="1" applyBorder="1" applyAlignment="1">
      <alignment horizontal="right"/>
    </xf>
    <xf numFmtId="1" fontId="3" fillId="0" borderId="0" xfId="0" applyNumberFormat="1" applyFont="1" applyBorder="1"/>
    <xf numFmtId="1" fontId="74" fillId="0" borderId="0" xfId="0" applyNumberFormat="1" applyFont="1" applyFill="1" applyBorder="1"/>
    <xf numFmtId="1" fontId="17" fillId="0" borderId="0" xfId="0" applyNumberFormat="1" applyFont="1" applyFill="1" applyBorder="1"/>
    <xf numFmtId="1" fontId="4" fillId="0" borderId="1" xfId="0" applyNumberFormat="1" applyFont="1" applyFill="1" applyBorder="1"/>
    <xf numFmtId="1" fontId="36" fillId="0" borderId="0" xfId="0" applyNumberFormat="1" applyFont="1" applyFill="1" applyBorder="1"/>
    <xf numFmtId="49" fontId="79" fillId="0" borderId="0" xfId="0" applyNumberFormat="1" applyFont="1" applyFill="1" applyBorder="1" applyAlignment="1">
      <alignment horizontal="right"/>
    </xf>
    <xf numFmtId="0" fontId="14" fillId="0" borderId="24" xfId="0" applyFont="1" applyFill="1" applyBorder="1" applyAlignment="1">
      <alignment horizontal="left"/>
    </xf>
    <xf numFmtId="14" fontId="14" fillId="0" borderId="24" xfId="0" applyNumberFormat="1" applyFont="1" applyFill="1" applyBorder="1" applyAlignment="1">
      <alignment horizontal="left"/>
    </xf>
    <xf numFmtId="164" fontId="100" fillId="0" borderId="1" xfId="0" applyNumberFormat="1" applyFont="1" applyBorder="1" applyAlignment="1">
      <alignment horizontal="right"/>
    </xf>
    <xf numFmtId="17" fontId="108" fillId="0" borderId="36" xfId="0" applyNumberFormat="1" applyFont="1" applyFill="1" applyBorder="1" applyAlignment="1">
      <alignment horizontal="center"/>
    </xf>
    <xf numFmtId="0" fontId="77" fillId="0" borderId="6" xfId="0" applyFont="1" applyFill="1" applyBorder="1" applyAlignment="1">
      <alignment horizontal="right"/>
    </xf>
    <xf numFmtId="166" fontId="3" fillId="0" borderId="0" xfId="0" applyNumberFormat="1" applyFont="1" applyFill="1" applyBorder="1"/>
    <xf numFmtId="1" fontId="3" fillId="0" borderId="1" xfId="0" applyNumberFormat="1" applyFont="1" applyBorder="1"/>
    <xf numFmtId="175" fontId="109" fillId="0" borderId="0" xfId="0" applyNumberFormat="1" applyFont="1" applyFill="1" applyBorder="1"/>
    <xf numFmtId="7" fontId="3" fillId="11" borderId="0" xfId="0" applyNumberFormat="1" applyFont="1" applyFill="1" applyBorder="1"/>
    <xf numFmtId="167" fontId="3" fillId="11" borderId="0" xfId="0" applyNumberFormat="1" applyFont="1" applyFill="1" applyBorder="1"/>
    <xf numFmtId="4" fontId="11" fillId="0" borderId="0" xfId="0" applyNumberFormat="1" applyFont="1" applyFill="1" applyBorder="1"/>
    <xf numFmtId="164" fontId="32" fillId="0" borderId="0" xfId="0" applyNumberFormat="1" applyFont="1" applyBorder="1" applyAlignment="1">
      <alignment horizontal="right"/>
    </xf>
    <xf numFmtId="164" fontId="32" fillId="0" borderId="1" xfId="0" applyNumberFormat="1" applyFont="1" applyBorder="1" applyAlignment="1">
      <alignment horizontal="right"/>
    </xf>
    <xf numFmtId="3" fontId="4" fillId="0" borderId="17" xfId="0" applyNumberFormat="1" applyFont="1" applyFill="1" applyBorder="1" applyAlignment="1"/>
    <xf numFmtId="0" fontId="15" fillId="0" borderId="19" xfId="0" applyFont="1" applyFill="1" applyBorder="1" applyAlignment="1"/>
    <xf numFmtId="7" fontId="13" fillId="0" borderId="0" xfId="0" applyNumberFormat="1" applyFont="1" applyFill="1" applyBorder="1"/>
    <xf numFmtId="1" fontId="36" fillId="0" borderId="1" xfId="0" applyNumberFormat="1" applyFont="1" applyFill="1" applyBorder="1"/>
    <xf numFmtId="1" fontId="101" fillId="0" borderId="0" xfId="0" applyNumberFormat="1" applyFont="1" applyFill="1" applyBorder="1" applyAlignment="1">
      <alignment horizontal="right"/>
    </xf>
    <xf numFmtId="165" fontId="100" fillId="0" borderId="0" xfId="0" applyNumberFormat="1" applyFont="1" applyFill="1" applyBorder="1" applyAlignment="1"/>
    <xf numFmtId="175" fontId="109" fillId="0" borderId="1" xfId="0" applyNumberFormat="1" applyFont="1" applyFill="1" applyBorder="1"/>
    <xf numFmtId="175" fontId="106" fillId="0" borderId="0" xfId="0" applyNumberFormat="1" applyFont="1" applyFill="1" applyBorder="1" applyAlignment="1"/>
    <xf numFmtId="2" fontId="101" fillId="0" borderId="1" xfId="0" applyNumberFormat="1" applyFont="1" applyFill="1" applyBorder="1" applyAlignment="1">
      <alignment horizontal="center"/>
    </xf>
    <xf numFmtId="4" fontId="3" fillId="11" borderId="0" xfId="0" applyNumberFormat="1" applyFont="1" applyFill="1" applyBorder="1" applyAlignment="1">
      <alignment horizontal="center"/>
    </xf>
    <xf numFmtId="0" fontId="56" fillId="0" borderId="6" xfId="0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2" fontId="73" fillId="0" borderId="24" xfId="0" applyNumberFormat="1" applyFont="1" applyFill="1" applyBorder="1"/>
    <xf numFmtId="1" fontId="4" fillId="0" borderId="17" xfId="0" applyNumberFormat="1" applyFont="1" applyFill="1" applyBorder="1" applyAlignment="1"/>
    <xf numFmtId="164" fontId="3" fillId="0" borderId="0" xfId="0" applyNumberFormat="1" applyFont="1" applyBorder="1"/>
    <xf numFmtId="166" fontId="19" fillId="0" borderId="0" xfId="0" applyNumberFormat="1" applyFont="1" applyFill="1"/>
    <xf numFmtId="7" fontId="4" fillId="0" borderId="0" xfId="0" applyNumberFormat="1" applyFont="1" applyFill="1" applyBorder="1"/>
    <xf numFmtId="1" fontId="3" fillId="0" borderId="0" xfId="0" applyNumberFormat="1" applyFont="1" applyFill="1" applyBorder="1" applyAlignment="1">
      <alignment horizontal="right"/>
    </xf>
    <xf numFmtId="0" fontId="3" fillId="0" borderId="0" xfId="2" applyFont="1"/>
    <xf numFmtId="164" fontId="11" fillId="0" borderId="0" xfId="0" applyNumberFormat="1" applyFont="1" applyFill="1" applyBorder="1" applyAlignment="1">
      <alignment horizontal="right"/>
    </xf>
    <xf numFmtId="4" fontId="11" fillId="0" borderId="0" xfId="0" applyNumberFormat="1" applyFont="1" applyFill="1" applyBorder="1" applyAlignment="1">
      <alignment horizontal="right"/>
    </xf>
    <xf numFmtId="8" fontId="4" fillId="0" borderId="24" xfId="0" applyNumberFormat="1" applyFont="1" applyFill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164" fontId="3" fillId="0" borderId="0" xfId="0" applyNumberFormat="1" applyFont="1" applyBorder="1" applyAlignment="1">
      <alignment horizontal="center"/>
    </xf>
    <xf numFmtId="4" fontId="100" fillId="0" borderId="24" xfId="0" applyNumberFormat="1" applyFont="1" applyFill="1" applyBorder="1"/>
    <xf numFmtId="165" fontId="4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64" fontId="101" fillId="0" borderId="0" xfId="0" applyNumberFormat="1" applyFont="1" applyFill="1" applyBorder="1" applyAlignment="1">
      <alignment horizontal="center"/>
    </xf>
    <xf numFmtId="0" fontId="11" fillId="0" borderId="4" xfId="0" applyFont="1" applyFill="1" applyBorder="1"/>
    <xf numFmtId="8" fontId="4" fillId="0" borderId="26" xfId="0" applyNumberFormat="1" applyFont="1" applyFill="1" applyBorder="1"/>
    <xf numFmtId="1" fontId="4" fillId="12" borderId="16" xfId="0" applyNumberFormat="1" applyFont="1" applyFill="1" applyBorder="1" applyAlignment="1">
      <alignment horizontal="center"/>
    </xf>
    <xf numFmtId="1" fontId="4" fillId="12" borderId="17" xfId="0" applyNumberFormat="1" applyFont="1" applyFill="1" applyBorder="1" applyAlignment="1">
      <alignment horizontal="center"/>
    </xf>
    <xf numFmtId="1" fontId="4" fillId="12" borderId="18" xfId="0" applyNumberFormat="1" applyFont="1" applyFill="1" applyBorder="1" applyAlignment="1">
      <alignment horizontal="center"/>
    </xf>
    <xf numFmtId="1" fontId="4" fillId="12" borderId="5" xfId="0" applyNumberFormat="1" applyFont="1" applyFill="1" applyBorder="1" applyAlignment="1">
      <alignment horizontal="center"/>
    </xf>
    <xf numFmtId="1" fontId="4" fillId="12" borderId="0" xfId="0" applyNumberFormat="1" applyFont="1" applyFill="1" applyBorder="1" applyAlignment="1">
      <alignment horizontal="center"/>
    </xf>
    <xf numFmtId="1" fontId="4" fillId="12" borderId="12" xfId="0" applyNumberFormat="1" applyFont="1" applyFill="1" applyBorder="1" applyAlignment="1">
      <alignment horizontal="center"/>
    </xf>
    <xf numFmtId="1" fontId="4" fillId="12" borderId="10" xfId="0" applyNumberFormat="1" applyFont="1" applyFill="1" applyBorder="1" applyAlignment="1">
      <alignment horizontal="center"/>
    </xf>
    <xf numFmtId="1" fontId="4" fillId="12" borderId="1" xfId="0" applyNumberFormat="1" applyFont="1" applyFill="1" applyBorder="1" applyAlignment="1">
      <alignment horizontal="center"/>
    </xf>
    <xf numFmtId="1" fontId="4" fillId="12" borderId="14" xfId="0" applyNumberFormat="1" applyFont="1" applyFill="1" applyBorder="1" applyAlignment="1">
      <alignment horizontal="center"/>
    </xf>
    <xf numFmtId="2" fontId="3" fillId="0" borderId="16" xfId="2" applyNumberFormat="1" applyFont="1" applyFill="1" applyBorder="1" applyAlignment="1">
      <alignment horizontal="center"/>
    </xf>
    <xf numFmtId="2" fontId="3" fillId="0" borderId="17" xfId="2" applyNumberFormat="1" applyFont="1" applyFill="1" applyBorder="1" applyAlignment="1">
      <alignment horizontal="center"/>
    </xf>
    <xf numFmtId="0" fontId="4" fillId="0" borderId="17" xfId="2" applyFont="1" applyFill="1" applyBorder="1"/>
    <xf numFmtId="0" fontId="3" fillId="0" borderId="17" xfId="2" applyFont="1" applyFill="1" applyBorder="1" applyAlignment="1">
      <alignment horizontal="center"/>
    </xf>
    <xf numFmtId="0" fontId="30" fillId="0" borderId="17" xfId="2" applyFont="1" applyFill="1" applyBorder="1" applyAlignment="1">
      <alignment horizontal="center"/>
    </xf>
    <xf numFmtId="0" fontId="4" fillId="0" borderId="18" xfId="2" applyFont="1" applyFill="1" applyBorder="1"/>
    <xf numFmtId="0" fontId="11" fillId="0" borderId="5" xfId="2" applyFont="1" applyFill="1" applyBorder="1"/>
    <xf numFmtId="0" fontId="11" fillId="0" borderId="0" xfId="2" applyFont="1" applyFill="1"/>
    <xf numFmtId="0" fontId="3" fillId="0" borderId="0" xfId="2" applyFont="1" applyFill="1" applyAlignment="1">
      <alignment horizontal="center"/>
    </xf>
    <xf numFmtId="0" fontId="4" fillId="0" borderId="5" xfId="2" applyFont="1" applyFill="1" applyBorder="1"/>
    <xf numFmtId="0" fontId="4" fillId="0" borderId="0" xfId="2" applyFont="1" applyFill="1"/>
    <xf numFmtId="0" fontId="2" fillId="0" borderId="0" xfId="2" applyFill="1"/>
    <xf numFmtId="0" fontId="19" fillId="0" borderId="5" xfId="2" applyFont="1" applyFill="1" applyBorder="1" applyAlignment="1">
      <alignment horizontal="center"/>
    </xf>
    <xf numFmtId="0" fontId="19" fillId="0" borderId="0" xfId="2" applyFont="1" applyFill="1" applyBorder="1" applyAlignment="1">
      <alignment horizontal="center"/>
    </xf>
    <xf numFmtId="0" fontId="4" fillId="0" borderId="0" xfId="2" applyFont="1" applyFill="1" applyBorder="1"/>
    <xf numFmtId="0" fontId="4" fillId="0" borderId="12" xfId="2" applyFont="1" applyFill="1" applyBorder="1"/>
    <xf numFmtId="17" fontId="40" fillId="0" borderId="0" xfId="2" applyNumberFormat="1" applyFont="1" applyFill="1" applyBorder="1" applyAlignment="1">
      <alignment horizontal="center"/>
    </xf>
    <xf numFmtId="17" fontId="40" fillId="0" borderId="0" xfId="2" applyNumberFormat="1" applyFont="1" applyFill="1" applyAlignment="1">
      <alignment horizontal="center"/>
    </xf>
    <xf numFmtId="0" fontId="18" fillId="0" borderId="0" xfId="2" applyFont="1" applyFill="1"/>
    <xf numFmtId="17" fontId="3" fillId="0" borderId="0" xfId="2" applyNumberFormat="1" applyFont="1" applyFill="1" applyAlignment="1">
      <alignment horizontal="center"/>
    </xf>
    <xf numFmtId="0" fontId="18" fillId="0" borderId="0" xfId="2" applyFont="1" applyFill="1" applyBorder="1"/>
    <xf numFmtId="2" fontId="18" fillId="0" borderId="0" xfId="2" applyNumberFormat="1" applyFont="1" applyFill="1" applyBorder="1"/>
    <xf numFmtId="2" fontId="18" fillId="0" borderId="12" xfId="2" applyNumberFormat="1" applyFont="1" applyFill="1" applyBorder="1"/>
    <xf numFmtId="0" fontId="19" fillId="0" borderId="5" xfId="2" applyFont="1" applyFill="1" applyBorder="1" applyAlignment="1">
      <alignment horizontal="left"/>
    </xf>
    <xf numFmtId="0" fontId="19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4" fillId="0" borderId="12" xfId="2" applyFont="1" applyFill="1" applyBorder="1" applyAlignment="1">
      <alignment horizontal="left"/>
    </xf>
    <xf numFmtId="0" fontId="19" fillId="0" borderId="0" xfId="2" applyFont="1" applyFill="1" applyAlignment="1">
      <alignment horizontal="left"/>
    </xf>
    <xf numFmtId="0" fontId="19" fillId="0" borderId="12" xfId="2" applyFont="1" applyFill="1" applyBorder="1" applyAlignment="1">
      <alignment horizontal="center"/>
    </xf>
    <xf numFmtId="0" fontId="18" fillId="0" borderId="5" xfId="2" applyFont="1" applyFill="1" applyBorder="1"/>
    <xf numFmtId="0" fontId="19" fillId="0" borderId="11" xfId="2" applyFont="1" applyFill="1" applyBorder="1" applyAlignment="1">
      <alignment horizontal="centerContinuous"/>
    </xf>
    <xf numFmtId="0" fontId="4" fillId="0" borderId="15" xfId="2" applyFont="1" applyFill="1" applyBorder="1" applyAlignment="1">
      <alignment horizontal="centerContinuous"/>
    </xf>
    <xf numFmtId="0" fontId="19" fillId="0" borderId="16" xfId="2" applyFont="1" applyFill="1" applyBorder="1" applyAlignment="1">
      <alignment horizontal="centerContinuous"/>
    </xf>
    <xf numFmtId="0" fontId="19" fillId="0" borderId="18" xfId="2" applyFont="1" applyFill="1" applyBorder="1" applyAlignment="1">
      <alignment horizontal="centerContinuous"/>
    </xf>
    <xf numFmtId="0" fontId="19" fillId="0" borderId="17" xfId="2" applyFont="1" applyFill="1" applyBorder="1" applyAlignment="1">
      <alignment horizontal="centerContinuous"/>
    </xf>
    <xf numFmtId="0" fontId="4" fillId="0" borderId="0" xfId="2" applyFont="1" applyFill="1" applyBorder="1" applyAlignment="1">
      <alignment horizontal="centerContinuous"/>
    </xf>
    <xf numFmtId="0" fontId="19" fillId="0" borderId="10" xfId="2" applyFont="1" applyFill="1" applyBorder="1" applyAlignment="1">
      <alignment horizontal="center" wrapText="1"/>
    </xf>
    <xf numFmtId="0" fontId="19" fillId="0" borderId="14" xfId="2" applyFont="1" applyFill="1" applyBorder="1" applyAlignment="1">
      <alignment horizontal="center"/>
    </xf>
    <xf numFmtId="0" fontId="18" fillId="0" borderId="10" xfId="2" applyFont="1" applyFill="1" applyBorder="1" applyAlignment="1">
      <alignment horizontal="center"/>
    </xf>
    <xf numFmtId="0" fontId="12" fillId="0" borderId="11" xfId="2" applyFont="1" applyFill="1" applyBorder="1" applyAlignment="1">
      <alignment horizontal="center"/>
    </xf>
    <xf numFmtId="0" fontId="12" fillId="0" borderId="15" xfId="2" applyFont="1" applyFill="1" applyBorder="1" applyAlignment="1">
      <alignment horizontal="center"/>
    </xf>
    <xf numFmtId="0" fontId="12" fillId="0" borderId="19" xfId="2" applyFont="1" applyFill="1" applyBorder="1" applyAlignment="1">
      <alignment horizontal="center" wrapText="1"/>
    </xf>
    <xf numFmtId="0" fontId="12" fillId="0" borderId="11" xfId="2" applyFont="1" applyFill="1" applyBorder="1" applyAlignment="1">
      <alignment horizontal="center" wrapText="1"/>
    </xf>
    <xf numFmtId="0" fontId="12" fillId="0" borderId="15" xfId="2" applyFont="1" applyFill="1" applyBorder="1" applyAlignment="1">
      <alignment horizontal="center" wrapText="1"/>
    </xf>
    <xf numFmtId="0" fontId="12" fillId="0" borderId="1" xfId="2" applyFont="1" applyFill="1" applyBorder="1" applyAlignment="1">
      <alignment horizontal="center" wrapText="1"/>
    </xf>
    <xf numFmtId="0" fontId="19" fillId="0" borderId="5" xfId="2" applyFont="1" applyFill="1" applyBorder="1" applyAlignment="1">
      <alignment horizontal="right"/>
    </xf>
    <xf numFmtId="164" fontId="18" fillId="0" borderId="16" xfId="2" applyNumberFormat="1" applyFont="1" applyFill="1" applyBorder="1"/>
    <xf numFmtId="164" fontId="18" fillId="0" borderId="18" xfId="2" applyNumberFormat="1" applyFont="1" applyFill="1" applyBorder="1"/>
    <xf numFmtId="164" fontId="18" fillId="4" borderId="5" xfId="2" applyNumberFormat="1" applyFont="1" applyFill="1" applyBorder="1"/>
    <xf numFmtId="164" fontId="18" fillId="4" borderId="12" xfId="2" applyNumberFormat="1" applyFont="1" applyFill="1" applyBorder="1"/>
    <xf numFmtId="164" fontId="18" fillId="0" borderId="5" xfId="2" applyNumberFormat="1" applyFont="1" applyFill="1" applyBorder="1"/>
    <xf numFmtId="164" fontId="18" fillId="0" borderId="12" xfId="2" applyNumberFormat="1" applyFont="1" applyFill="1" applyBorder="1"/>
    <xf numFmtId="164" fontId="18" fillId="0" borderId="17" xfId="2" applyNumberFormat="1" applyFont="1" applyFill="1" applyBorder="1"/>
    <xf numFmtId="164" fontId="18" fillId="4" borderId="16" xfId="2" applyNumberFormat="1" applyFont="1" applyFill="1" applyBorder="1"/>
    <xf numFmtId="164" fontId="18" fillId="4" borderId="18" xfId="2" applyNumberFormat="1" applyFont="1" applyFill="1" applyBorder="1"/>
    <xf numFmtId="0" fontId="19" fillId="0" borderId="12" xfId="2" applyFont="1" applyFill="1" applyBorder="1" applyAlignment="1">
      <alignment horizontal="right"/>
    </xf>
    <xf numFmtId="164" fontId="18" fillId="4" borderId="0" xfId="2" applyNumberFormat="1" applyFont="1" applyFill="1" applyBorder="1"/>
    <xf numFmtId="164" fontId="18" fillId="0" borderId="0" xfId="2" applyNumberFormat="1" applyFont="1" applyFill="1" applyBorder="1"/>
    <xf numFmtId="0" fontId="19" fillId="0" borderId="0" xfId="2" applyFont="1" applyFill="1" applyAlignment="1">
      <alignment horizontal="right"/>
    </xf>
    <xf numFmtId="0" fontId="19" fillId="0" borderId="10" xfId="2" applyFont="1" applyFill="1" applyBorder="1" applyAlignment="1">
      <alignment horizontal="right"/>
    </xf>
    <xf numFmtId="164" fontId="18" fillId="0" borderId="10" xfId="2" applyNumberFormat="1" applyFont="1" applyFill="1" applyBorder="1"/>
    <xf numFmtId="164" fontId="18" fillId="0" borderId="14" xfId="2" applyNumberFormat="1" applyFont="1" applyFill="1" applyBorder="1"/>
    <xf numFmtId="164" fontId="18" fillId="4" borderId="10" xfId="2" applyNumberFormat="1" applyFont="1" applyFill="1" applyBorder="1"/>
    <xf numFmtId="164" fontId="18" fillId="4" borderId="14" xfId="2" applyNumberFormat="1" applyFont="1" applyFill="1" applyBorder="1"/>
    <xf numFmtId="164" fontId="18" fillId="0" borderId="1" xfId="2" applyNumberFormat="1" applyFont="1" applyFill="1" applyBorder="1"/>
    <xf numFmtId="0" fontId="19" fillId="0" borderId="14" xfId="2" applyFont="1" applyFill="1" applyBorder="1" applyAlignment="1">
      <alignment horizontal="right"/>
    </xf>
    <xf numFmtId="164" fontId="18" fillId="4" borderId="1" xfId="2" applyNumberFormat="1" applyFont="1" applyFill="1" applyBorder="1"/>
    <xf numFmtId="0" fontId="19" fillId="0" borderId="1" xfId="2" applyFont="1" applyFill="1" applyBorder="1" applyAlignment="1">
      <alignment horizontal="right"/>
    </xf>
    <xf numFmtId="164" fontId="19" fillId="0" borderId="10" xfId="2" applyNumberFormat="1" applyFont="1" applyFill="1" applyBorder="1"/>
    <xf numFmtId="164" fontId="19" fillId="0" borderId="14" xfId="2" applyNumberFormat="1" applyFont="1" applyFill="1" applyBorder="1"/>
    <xf numFmtId="164" fontId="19" fillId="4" borderId="5" xfId="2" applyNumberFormat="1" applyFont="1" applyFill="1" applyBorder="1"/>
    <xf numFmtId="164" fontId="19" fillId="4" borderId="12" xfId="2" applyNumberFormat="1" applyFont="1" applyFill="1" applyBorder="1"/>
    <xf numFmtId="164" fontId="19" fillId="0" borderId="5" xfId="2" applyNumberFormat="1" applyFont="1" applyFill="1" applyBorder="1"/>
    <xf numFmtId="164" fontId="19" fillId="0" borderId="12" xfId="2" applyNumberFormat="1" applyFont="1" applyFill="1" applyBorder="1"/>
    <xf numFmtId="164" fontId="19" fillId="0" borderId="16" xfId="2" applyNumberFormat="1" applyFont="1" applyFill="1" applyBorder="1"/>
    <xf numFmtId="164" fontId="19" fillId="0" borderId="18" xfId="2" applyNumberFormat="1" applyFont="1" applyFill="1" applyBorder="1"/>
    <xf numFmtId="164" fontId="19" fillId="0" borderId="17" xfId="2" applyNumberFormat="1" applyFont="1" applyFill="1" applyBorder="1"/>
    <xf numFmtId="0" fontId="19" fillId="0" borderId="5" xfId="2" applyFont="1" applyFill="1" applyBorder="1"/>
    <xf numFmtId="164" fontId="19" fillId="4" borderId="0" xfId="2" applyNumberFormat="1" applyFont="1" applyFill="1" applyBorder="1"/>
    <xf numFmtId="164" fontId="19" fillId="0" borderId="0" xfId="2" applyNumberFormat="1" applyFont="1" applyFill="1" applyBorder="1"/>
    <xf numFmtId="0" fontId="19" fillId="0" borderId="0" xfId="2" applyFont="1" applyFill="1"/>
    <xf numFmtId="0" fontId="12" fillId="0" borderId="5" xfId="2" applyFont="1" applyFill="1" applyBorder="1" applyAlignment="1">
      <alignment horizontal="center"/>
    </xf>
    <xf numFmtId="164" fontId="11" fillId="0" borderId="0" xfId="2" applyNumberFormat="1" applyFont="1" applyFill="1" applyBorder="1" applyAlignment="1"/>
    <xf numFmtId="164" fontId="11" fillId="4" borderId="10" xfId="2" applyNumberFormat="1" applyFont="1" applyFill="1" applyBorder="1" applyAlignment="1"/>
    <xf numFmtId="164" fontId="11" fillId="4" borderId="14" xfId="2" applyNumberFormat="1" applyFont="1" applyFill="1" applyBorder="1" applyAlignment="1"/>
    <xf numFmtId="164" fontId="11" fillId="0" borderId="10" xfId="2" applyNumberFormat="1" applyFont="1" applyFill="1" applyBorder="1" applyAlignment="1"/>
    <xf numFmtId="164" fontId="11" fillId="0" borderId="14" xfId="2" applyNumberFormat="1" applyFont="1" applyFill="1" applyBorder="1" applyAlignment="1"/>
    <xf numFmtId="164" fontId="18" fillId="4" borderId="10" xfId="2" applyNumberFormat="1" applyFont="1" applyFill="1" applyBorder="1" applyAlignment="1"/>
    <xf numFmtId="164" fontId="11" fillId="0" borderId="10" xfId="2" applyNumberFormat="1" applyFont="1" applyFill="1" applyBorder="1" applyAlignment="1">
      <alignment horizontal="right"/>
    </xf>
    <xf numFmtId="164" fontId="11" fillId="0" borderId="1" xfId="2" applyNumberFormat="1" applyFont="1" applyFill="1" applyBorder="1" applyAlignment="1"/>
    <xf numFmtId="0" fontId="12" fillId="0" borderId="12" xfId="2" applyFont="1" applyFill="1" applyBorder="1" applyAlignment="1">
      <alignment horizontal="center"/>
    </xf>
    <xf numFmtId="0" fontId="13" fillId="0" borderId="5" xfId="2" applyFont="1" applyFill="1" applyBorder="1" applyAlignment="1">
      <alignment vertical="top"/>
    </xf>
    <xf numFmtId="164" fontId="11" fillId="0" borderId="10" xfId="2" applyNumberFormat="1" applyFont="1" applyFill="1" applyBorder="1" applyAlignment="1">
      <alignment vertical="top"/>
    </xf>
    <xf numFmtId="164" fontId="11" fillId="0" borderId="14" xfId="2" applyNumberFormat="1" applyFont="1" applyFill="1" applyBorder="1" applyAlignment="1">
      <alignment vertical="top"/>
    </xf>
    <xf numFmtId="164" fontId="11" fillId="4" borderId="10" xfId="2" applyNumberFormat="1" applyFont="1" applyFill="1" applyBorder="1"/>
    <xf numFmtId="164" fontId="11" fillId="4" borderId="14" xfId="2" applyNumberFormat="1" applyFont="1" applyFill="1" applyBorder="1" applyAlignment="1">
      <alignment vertical="top"/>
    </xf>
    <xf numFmtId="164" fontId="11" fillId="4" borderId="1" xfId="2" applyNumberFormat="1" applyFont="1" applyFill="1" applyBorder="1" applyAlignment="1">
      <alignment vertical="top"/>
    </xf>
    <xf numFmtId="164" fontId="11" fillId="0" borderId="1" xfId="2" applyNumberFormat="1" applyFont="1" applyFill="1" applyBorder="1" applyAlignment="1">
      <alignment vertical="top"/>
    </xf>
    <xf numFmtId="0" fontId="13" fillId="0" borderId="0" xfId="2" applyFont="1" applyFill="1" applyAlignment="1">
      <alignment vertical="top"/>
    </xf>
    <xf numFmtId="0" fontId="4" fillId="0" borderId="5" xfId="2" applyFont="1" applyFill="1" applyBorder="1" applyAlignment="1">
      <alignment horizontal="center"/>
    </xf>
    <xf numFmtId="0" fontId="4" fillId="0" borderId="12" xfId="2" applyFont="1" applyFill="1" applyBorder="1" applyAlignment="1">
      <alignment horizontal="center"/>
    </xf>
    <xf numFmtId="0" fontId="19" fillId="0" borderId="12" xfId="2" applyFont="1" applyFill="1" applyBorder="1" applyAlignment="1">
      <alignment horizontal="left"/>
    </xf>
    <xf numFmtId="0" fontId="3" fillId="0" borderId="0" xfId="2" applyFont="1" applyFill="1" applyAlignment="1">
      <alignment horizontal="left"/>
    </xf>
    <xf numFmtId="164" fontId="3" fillId="0" borderId="0" xfId="2" applyNumberFormat="1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left"/>
    </xf>
    <xf numFmtId="0" fontId="19" fillId="0" borderId="30" xfId="2" applyFont="1" applyFill="1" applyBorder="1" applyAlignment="1">
      <alignment horizontal="center"/>
    </xf>
    <xf numFmtId="0" fontId="18" fillId="0" borderId="15" xfId="2" applyFont="1" applyFill="1" applyBorder="1" applyAlignment="1">
      <alignment horizontal="centerContinuous"/>
    </xf>
    <xf numFmtId="0" fontId="19" fillId="0" borderId="15" xfId="2" applyFont="1" applyFill="1" applyBorder="1" applyAlignment="1">
      <alignment horizontal="centerContinuous"/>
    </xf>
    <xf numFmtId="0" fontId="19" fillId="0" borderId="19" xfId="2" applyFont="1" applyFill="1" applyBorder="1" applyAlignment="1">
      <alignment horizontal="centerContinuous"/>
    </xf>
    <xf numFmtId="0" fontId="18" fillId="0" borderId="10" xfId="2" applyFont="1" applyFill="1" applyBorder="1"/>
    <xf numFmtId="0" fontId="19" fillId="0" borderId="11" xfId="2" applyFont="1" applyFill="1" applyBorder="1" applyAlignment="1">
      <alignment horizontal="centerContinuous" wrapText="1"/>
    </xf>
    <xf numFmtId="0" fontId="19" fillId="0" borderId="19" xfId="2" applyFont="1" applyFill="1" applyBorder="1" applyAlignment="1">
      <alignment horizontal="centerContinuous" wrapText="1"/>
    </xf>
    <xf numFmtId="0" fontId="19" fillId="0" borderId="15" xfId="2" applyFont="1" applyFill="1" applyBorder="1" applyAlignment="1">
      <alignment horizontal="centerContinuous" wrapText="1"/>
    </xf>
    <xf numFmtId="0" fontId="18" fillId="0" borderId="1" xfId="2" applyFont="1" applyFill="1" applyBorder="1"/>
    <xf numFmtId="164" fontId="11" fillId="0" borderId="18" xfId="2" applyNumberFormat="1" applyFont="1" applyFill="1" applyBorder="1"/>
    <xf numFmtId="164" fontId="15" fillId="4" borderId="18" xfId="2" applyNumberFormat="1" applyFont="1" applyFill="1" applyBorder="1"/>
    <xf numFmtId="164" fontId="15" fillId="0" borderId="18" xfId="2" applyNumberFormat="1" applyFont="1" applyFill="1" applyBorder="1"/>
    <xf numFmtId="164" fontId="15" fillId="4" borderId="17" xfId="2" applyNumberFormat="1" applyFont="1" applyFill="1" applyBorder="1"/>
    <xf numFmtId="2" fontId="18" fillId="0" borderId="17" xfId="2" applyNumberFormat="1" applyFont="1" applyFill="1" applyBorder="1"/>
    <xf numFmtId="2" fontId="18" fillId="0" borderId="18" xfId="2" applyNumberFormat="1" applyFont="1" applyFill="1" applyBorder="1"/>
    <xf numFmtId="164" fontId="11" fillId="0" borderId="12" xfId="2" applyNumberFormat="1" applyFont="1" applyFill="1" applyBorder="1"/>
    <xf numFmtId="164" fontId="11" fillId="4" borderId="12" xfId="2" applyNumberFormat="1" applyFont="1" applyFill="1" applyBorder="1"/>
    <xf numFmtId="164" fontId="15" fillId="0" borderId="12" xfId="2" applyNumberFormat="1" applyFont="1" applyFill="1" applyBorder="1"/>
    <xf numFmtId="164" fontId="15" fillId="4" borderId="12" xfId="2" applyNumberFormat="1" applyFont="1" applyFill="1" applyBorder="1"/>
    <xf numFmtId="164" fontId="15" fillId="4" borderId="0" xfId="2" applyNumberFormat="1" applyFont="1" applyFill="1" applyBorder="1"/>
    <xf numFmtId="164" fontId="11" fillId="0" borderId="14" xfId="2" applyNumberFormat="1" applyFont="1" applyFill="1" applyBorder="1"/>
    <xf numFmtId="164" fontId="11" fillId="4" borderId="14" xfId="2" applyNumberFormat="1" applyFont="1" applyFill="1" applyBorder="1"/>
    <xf numFmtId="164" fontId="15" fillId="0" borderId="14" xfId="2" applyNumberFormat="1" applyFont="1" applyFill="1" applyBorder="1"/>
    <xf numFmtId="164" fontId="15" fillId="4" borderId="14" xfId="2" applyNumberFormat="1" applyFont="1" applyFill="1" applyBorder="1"/>
    <xf numFmtId="164" fontId="15" fillId="4" borderId="1" xfId="2" applyNumberFormat="1" applyFont="1" applyFill="1" applyBorder="1"/>
    <xf numFmtId="2" fontId="18" fillId="0" borderId="1" xfId="2" applyNumberFormat="1" applyFont="1" applyFill="1" applyBorder="1"/>
    <xf numFmtId="2" fontId="18" fillId="0" borderId="14" xfId="2" applyNumberFormat="1" applyFont="1" applyFill="1" applyBorder="1"/>
    <xf numFmtId="164" fontId="15" fillId="0" borderId="0" xfId="2" applyNumberFormat="1" applyFont="1" applyFill="1" applyBorder="1"/>
    <xf numFmtId="164" fontId="20" fillId="4" borderId="12" xfId="2" applyNumberFormat="1" applyFont="1" applyFill="1" applyBorder="1"/>
    <xf numFmtId="164" fontId="11" fillId="0" borderId="10" xfId="2" applyNumberFormat="1" applyFont="1" applyFill="1" applyBorder="1"/>
    <xf numFmtId="164" fontId="15" fillId="0" borderId="1" xfId="2" applyNumberFormat="1" applyFont="1" applyFill="1" applyBorder="1"/>
    <xf numFmtId="0" fontId="19" fillId="0" borderId="5" xfId="2" applyFont="1" applyFill="1" applyBorder="1" applyAlignment="1">
      <alignment horizontal="center" wrapText="1"/>
    </xf>
    <xf numFmtId="164" fontId="19" fillId="4" borderId="10" xfId="2" applyNumberFormat="1" applyFont="1" applyFill="1" applyBorder="1"/>
    <xf numFmtId="164" fontId="19" fillId="4" borderId="14" xfId="2" applyNumberFormat="1" applyFont="1" applyFill="1" applyBorder="1"/>
    <xf numFmtId="164" fontId="19" fillId="0" borderId="1" xfId="2" applyNumberFormat="1" applyFont="1" applyFill="1" applyBorder="1"/>
    <xf numFmtId="0" fontId="19" fillId="0" borderId="12" xfId="2" applyFont="1" applyFill="1" applyBorder="1" applyAlignment="1">
      <alignment horizontal="center" wrapText="1"/>
    </xf>
    <xf numFmtId="164" fontId="11" fillId="4" borderId="1" xfId="2" applyNumberFormat="1" applyFont="1" applyFill="1" applyBorder="1"/>
    <xf numFmtId="164" fontId="19" fillId="0" borderId="11" xfId="2" applyNumberFormat="1" applyFont="1" applyFill="1" applyBorder="1"/>
    <xf numFmtId="164" fontId="19" fillId="0" borderId="19" xfId="2" applyNumberFormat="1" applyFont="1" applyFill="1" applyBorder="1"/>
    <xf numFmtId="2" fontId="19" fillId="0" borderId="19" xfId="2" applyNumberFormat="1" applyFont="1" applyFill="1" applyBorder="1"/>
    <xf numFmtId="2" fontId="19" fillId="0" borderId="15" xfId="2" applyNumberFormat="1" applyFont="1" applyFill="1" applyBorder="1"/>
    <xf numFmtId="0" fontId="19" fillId="0" borderId="0" xfId="2" applyFont="1" applyFill="1" applyAlignment="1">
      <alignment horizontal="center" wrapText="1"/>
    </xf>
    <xf numFmtId="0" fontId="19" fillId="0" borderId="5" xfId="2" applyFont="1" applyFill="1" applyBorder="1" applyAlignment="1">
      <alignment horizontal="center" vertical="top"/>
    </xf>
    <xf numFmtId="0" fontId="10" fillId="0" borderId="0" xfId="2" applyFont="1" applyFill="1" applyBorder="1"/>
    <xf numFmtId="0" fontId="19" fillId="0" borderId="12" xfId="2" applyFont="1" applyFill="1" applyBorder="1" applyAlignment="1">
      <alignment horizontal="center" vertical="top"/>
    </xf>
    <xf numFmtId="0" fontId="13" fillId="0" borderId="5" xfId="2" applyFont="1" applyFill="1" applyBorder="1" applyAlignment="1">
      <alignment horizontal="left" vertical="top"/>
    </xf>
    <xf numFmtId="0" fontId="11" fillId="0" borderId="0" xfId="2" applyFont="1" applyFill="1" applyBorder="1"/>
    <xf numFmtId="0" fontId="14" fillId="0" borderId="0" xfId="2" applyFont="1" applyFill="1" applyBorder="1" applyAlignment="1"/>
    <xf numFmtId="0" fontId="13" fillId="0" borderId="0" xfId="2" applyFont="1" applyFill="1" applyBorder="1" applyAlignment="1">
      <alignment horizontal="left" vertical="top"/>
    </xf>
    <xf numFmtId="0" fontId="4" fillId="0" borderId="5" xfId="2" applyFont="1" applyFill="1" applyBorder="1" applyAlignment="1">
      <alignment horizontal="left"/>
    </xf>
    <xf numFmtId="0" fontId="19" fillId="0" borderId="10" xfId="2" applyFont="1" applyFill="1" applyBorder="1" applyAlignment="1">
      <alignment horizontal="center"/>
    </xf>
    <xf numFmtId="2" fontId="18" fillId="0" borderId="19" xfId="2" applyNumberFormat="1" applyFont="1" applyFill="1" applyBorder="1" applyAlignment="1">
      <alignment horizontal="centerContinuous"/>
    </xf>
    <xf numFmtId="2" fontId="18" fillId="0" borderId="15" xfId="2" applyNumberFormat="1" applyFont="1" applyFill="1" applyBorder="1" applyAlignment="1">
      <alignment horizontal="centerContinuous"/>
    </xf>
    <xf numFmtId="164" fontId="18" fillId="4" borderId="17" xfId="2" applyNumberFormat="1" applyFont="1" applyFill="1" applyBorder="1"/>
    <xf numFmtId="164" fontId="4" fillId="4" borderId="0" xfId="2" applyNumberFormat="1" applyFont="1" applyFill="1" applyBorder="1"/>
    <xf numFmtId="164" fontId="4" fillId="4" borderId="12" xfId="2" applyNumberFormat="1" applyFont="1" applyFill="1" applyBorder="1"/>
    <xf numFmtId="164" fontId="4" fillId="0" borderId="0" xfId="2" applyNumberFormat="1" applyFont="1" applyFill="1" applyBorder="1"/>
    <xf numFmtId="164" fontId="4" fillId="0" borderId="12" xfId="2" applyNumberFormat="1" applyFont="1" applyFill="1" applyBorder="1"/>
    <xf numFmtId="164" fontId="4" fillId="4" borderId="1" xfId="2" applyNumberFormat="1" applyFont="1" applyFill="1" applyBorder="1"/>
    <xf numFmtId="164" fontId="4" fillId="4" borderId="14" xfId="2" applyNumberFormat="1" applyFont="1" applyFill="1" applyBorder="1"/>
    <xf numFmtId="164" fontId="4" fillId="0" borderId="1" xfId="2" applyNumberFormat="1" applyFont="1" applyFill="1" applyBorder="1"/>
    <xf numFmtId="164" fontId="4" fillId="0" borderId="14" xfId="2" applyNumberFormat="1" applyFont="1" applyFill="1" applyBorder="1"/>
    <xf numFmtId="164" fontId="19" fillId="4" borderId="11" xfId="2" applyNumberFormat="1" applyFont="1" applyFill="1" applyBorder="1"/>
    <xf numFmtId="164" fontId="4" fillId="4" borderId="19" xfId="2" applyNumberFormat="1" applyFont="1" applyFill="1" applyBorder="1"/>
    <xf numFmtId="164" fontId="4" fillId="4" borderId="15" xfId="2" applyNumberFormat="1" applyFont="1" applyFill="1" applyBorder="1"/>
    <xf numFmtId="164" fontId="19" fillId="0" borderId="15" xfId="2" applyNumberFormat="1" applyFont="1" applyFill="1" applyBorder="1"/>
    <xf numFmtId="0" fontId="4" fillId="0" borderId="0" xfId="2" applyFont="1" applyFill="1" applyBorder="1" applyAlignment="1">
      <alignment horizontal="center"/>
    </xf>
    <xf numFmtId="0" fontId="3" fillId="0" borderId="5" xfId="2" applyFont="1" applyFill="1" applyBorder="1" applyAlignment="1">
      <alignment horizontal="center"/>
    </xf>
    <xf numFmtId="2" fontId="18" fillId="0" borderId="5" xfId="2" applyNumberFormat="1" applyFont="1" applyFill="1" applyBorder="1"/>
    <xf numFmtId="0" fontId="3" fillId="0" borderId="12" xfId="2" applyFont="1" applyFill="1" applyBorder="1" applyAlignment="1">
      <alignment horizontal="left"/>
    </xf>
    <xf numFmtId="0" fontId="4" fillId="0" borderId="5" xfId="2" applyFont="1" applyFill="1" applyBorder="1" applyAlignment="1">
      <alignment horizontal="centerContinuous"/>
    </xf>
    <xf numFmtId="0" fontId="2" fillId="0" borderId="0" xfId="2" applyFill="1" applyBorder="1" applyAlignment="1">
      <alignment horizontal="center"/>
    </xf>
    <xf numFmtId="0" fontId="12" fillId="0" borderId="10" xfId="2" applyFont="1" applyFill="1" applyBorder="1" applyAlignment="1">
      <alignment horizontal="center" wrapText="1"/>
    </xf>
    <xf numFmtId="0" fontId="12" fillId="0" borderId="11" xfId="2" applyFont="1" applyFill="1" applyBorder="1" applyAlignment="1">
      <alignment horizontal="left" wrapText="1"/>
    </xf>
    <xf numFmtId="0" fontId="12" fillId="0" borderId="14" xfId="2" applyFont="1" applyFill="1" applyBorder="1" applyAlignment="1">
      <alignment horizontal="center" wrapText="1"/>
    </xf>
    <xf numFmtId="164" fontId="34" fillId="0" borderId="0" xfId="2" applyNumberFormat="1" applyFont="1" applyFill="1" applyBorder="1"/>
    <xf numFmtId="166" fontId="19" fillId="0" borderId="16" xfId="2" applyNumberFormat="1" applyFont="1" applyFill="1" applyBorder="1"/>
    <xf numFmtId="166" fontId="19" fillId="0" borderId="18" xfId="2" applyNumberFormat="1" applyFont="1" applyFill="1" applyBorder="1"/>
    <xf numFmtId="166" fontId="19" fillId="0" borderId="17" xfId="2" applyNumberFormat="1" applyFont="1" applyFill="1" applyBorder="1"/>
    <xf numFmtId="166" fontId="11" fillId="0" borderId="10" xfId="2" applyNumberFormat="1" applyFont="1" applyFill="1" applyBorder="1" applyAlignment="1">
      <alignment horizontal="right"/>
    </xf>
    <xf numFmtId="166" fontId="11" fillId="0" borderId="14" xfId="2" applyNumberFormat="1" applyFont="1" applyFill="1" applyBorder="1" applyAlignment="1"/>
    <xf numFmtId="166" fontId="11" fillId="0" borderId="1" xfId="2" applyNumberFormat="1" applyFont="1" applyFill="1" applyBorder="1" applyAlignment="1"/>
    <xf numFmtId="166" fontId="11" fillId="0" borderId="1" xfId="2" applyNumberFormat="1" applyFont="1" applyFill="1" applyBorder="1" applyAlignment="1">
      <alignment horizontal="right"/>
    </xf>
    <xf numFmtId="166" fontId="11" fillId="0" borderId="10" xfId="2" applyNumberFormat="1" applyFont="1" applyFill="1" applyBorder="1" applyAlignment="1"/>
    <xf numFmtId="164" fontId="11" fillId="4" borderId="10" xfId="2" applyNumberFormat="1" applyFont="1" applyFill="1" applyBorder="1" applyAlignment="1">
      <alignment vertical="top"/>
    </xf>
    <xf numFmtId="2" fontId="11" fillId="0" borderId="10" xfId="2" applyNumberFormat="1" applyFont="1" applyFill="1" applyBorder="1" applyAlignment="1">
      <alignment vertical="top"/>
    </xf>
    <xf numFmtId="164" fontId="11" fillId="0" borderId="1" xfId="2" applyNumberFormat="1" applyFont="1" applyFill="1" applyBorder="1" applyAlignment="1">
      <alignment horizontal="right"/>
    </xf>
    <xf numFmtId="0" fontId="17" fillId="0" borderId="0" xfId="2" applyFont="1" applyFill="1" applyBorder="1"/>
    <xf numFmtId="164" fontId="17" fillId="0" borderId="0" xfId="2" applyNumberFormat="1" applyFont="1" applyFill="1" applyBorder="1"/>
    <xf numFmtId="164" fontId="15" fillId="0" borderId="17" xfId="2" applyNumberFormat="1" applyFont="1" applyFill="1" applyBorder="1"/>
    <xf numFmtId="164" fontId="11" fillId="4" borderId="16" xfId="2" applyNumberFormat="1" applyFont="1" applyFill="1" applyBorder="1"/>
    <xf numFmtId="2" fontId="15" fillId="4" borderId="17" xfId="2" applyNumberFormat="1" applyFont="1" applyFill="1" applyBorder="1" applyAlignment="1">
      <alignment horizontal="left"/>
    </xf>
    <xf numFmtId="2" fontId="18" fillId="4" borderId="18" xfId="2" applyNumberFormat="1" applyFont="1" applyFill="1" applyBorder="1"/>
    <xf numFmtId="164" fontId="11" fillId="4" borderId="5" xfId="2" applyNumberFormat="1" applyFont="1" applyFill="1" applyBorder="1"/>
    <xf numFmtId="2" fontId="15" fillId="4" borderId="0" xfId="2" applyNumberFormat="1" applyFont="1" applyFill="1" applyBorder="1" applyAlignment="1">
      <alignment horizontal="left"/>
    </xf>
    <xf numFmtId="2" fontId="18" fillId="4" borderId="12" xfId="2" applyNumberFormat="1" applyFont="1" applyFill="1" applyBorder="1"/>
    <xf numFmtId="0" fontId="15" fillId="0" borderId="0" xfId="2" applyFont="1" applyFill="1" applyBorder="1"/>
    <xf numFmtId="0" fontId="15" fillId="4" borderId="0" xfId="2" applyFont="1" applyFill="1" applyBorder="1"/>
    <xf numFmtId="0" fontId="15" fillId="4" borderId="12" xfId="2" applyFont="1" applyFill="1" applyBorder="1"/>
    <xf numFmtId="0" fontId="15" fillId="0" borderId="12" xfId="2" applyFont="1" applyFill="1" applyBorder="1"/>
    <xf numFmtId="2" fontId="15" fillId="4" borderId="12" xfId="2" applyNumberFormat="1" applyFont="1" applyFill="1" applyBorder="1" applyAlignment="1">
      <alignment horizontal="left"/>
    </xf>
    <xf numFmtId="2" fontId="15" fillId="4" borderId="1" xfId="2" applyNumberFormat="1" applyFont="1" applyFill="1" applyBorder="1" applyAlignment="1">
      <alignment horizontal="left"/>
    </xf>
    <xf numFmtId="2" fontId="15" fillId="4" borderId="14" xfId="2" applyNumberFormat="1" applyFont="1" applyFill="1" applyBorder="1" applyAlignment="1">
      <alignment horizontal="left"/>
    </xf>
    <xf numFmtId="164" fontId="18" fillId="4" borderId="5" xfId="2" applyNumberFormat="1" applyFont="1" applyFill="1" applyBorder="1" applyAlignment="1">
      <alignment horizontal="right"/>
    </xf>
    <xf numFmtId="166" fontId="19" fillId="0" borderId="10" xfId="2" applyNumberFormat="1" applyFont="1" applyFill="1" applyBorder="1"/>
    <xf numFmtId="166" fontId="19" fillId="0" borderId="14" xfId="2" applyNumberFormat="1" applyFont="1" applyFill="1" applyBorder="1"/>
    <xf numFmtId="166" fontId="19" fillId="0" borderId="1" xfId="2" applyNumberFormat="1" applyFont="1" applyFill="1" applyBorder="1"/>
    <xf numFmtId="166" fontId="19" fillId="0" borderId="11" xfId="2" applyNumberFormat="1" applyFont="1" applyFill="1" applyBorder="1"/>
    <xf numFmtId="166" fontId="19" fillId="0" borderId="15" xfId="2" applyNumberFormat="1" applyFont="1" applyFill="1" applyBorder="1"/>
    <xf numFmtId="166" fontId="12" fillId="0" borderId="11" xfId="2" applyNumberFormat="1" applyFont="1" applyFill="1" applyBorder="1"/>
    <xf numFmtId="2" fontId="19" fillId="4" borderId="1" xfId="2" applyNumberFormat="1" applyFont="1" applyFill="1" applyBorder="1"/>
    <xf numFmtId="2" fontId="19" fillId="4" borderId="14" xfId="2" applyNumberFormat="1" applyFont="1" applyFill="1" applyBorder="1"/>
    <xf numFmtId="0" fontId="18" fillId="0" borderId="0" xfId="2" applyFont="1" applyFill="1" applyBorder="1" applyAlignment="1"/>
    <xf numFmtId="0" fontId="3" fillId="0" borderId="0" xfId="2" applyFont="1" applyFill="1" applyBorder="1" applyAlignment="1"/>
    <xf numFmtId="164" fontId="19" fillId="4" borderId="1" xfId="2" applyNumberFormat="1" applyFont="1" applyFill="1" applyBorder="1"/>
    <xf numFmtId="0" fontId="4" fillId="0" borderId="16" xfId="2" applyFont="1" applyFill="1" applyBorder="1"/>
    <xf numFmtId="0" fontId="3" fillId="0" borderId="12" xfId="2" applyFont="1" applyFill="1" applyBorder="1" applyAlignment="1">
      <alignment horizontal="center"/>
    </xf>
    <xf numFmtId="0" fontId="2" fillId="0" borderId="5" xfId="2" applyFill="1" applyBorder="1" applyAlignment="1">
      <alignment horizontal="center"/>
    </xf>
    <xf numFmtId="49" fontId="19" fillId="0" borderId="12" xfId="2" applyNumberFormat="1" applyFont="1" applyFill="1" applyBorder="1" applyAlignment="1">
      <alignment horizontal="center"/>
    </xf>
    <xf numFmtId="164" fontId="34" fillId="4" borderId="0" xfId="2" applyNumberFormat="1" applyFont="1" applyFill="1" applyBorder="1"/>
    <xf numFmtId="0" fontId="19" fillId="0" borderId="12" xfId="2" applyFont="1" applyFill="1" applyBorder="1"/>
    <xf numFmtId="164" fontId="11" fillId="0" borderId="1" xfId="2" applyNumberFormat="1" applyFont="1" applyFill="1" applyBorder="1" applyAlignment="1">
      <alignment horizontal="right" vertical="top"/>
    </xf>
    <xf numFmtId="0" fontId="18" fillId="0" borderId="14" xfId="2" applyFont="1" applyFill="1" applyBorder="1"/>
    <xf numFmtId="164" fontId="11" fillId="0" borderId="16" xfId="2" applyNumberFormat="1" applyFont="1" applyFill="1" applyBorder="1"/>
    <xf numFmtId="164" fontId="11" fillId="0" borderId="17" xfId="2" applyNumberFormat="1" applyFont="1" applyFill="1" applyBorder="1"/>
    <xf numFmtId="164" fontId="11" fillId="0" borderId="5" xfId="2" applyNumberFormat="1" applyFont="1" applyFill="1" applyBorder="1"/>
    <xf numFmtId="164" fontId="11" fillId="0" borderId="0" xfId="2" applyNumberFormat="1" applyFont="1" applyFill="1" applyBorder="1"/>
    <xf numFmtId="164" fontId="11" fillId="0" borderId="1" xfId="2" applyNumberFormat="1" applyFont="1" applyFill="1" applyBorder="1"/>
    <xf numFmtId="0" fontId="13" fillId="0" borderId="12" xfId="2" applyFont="1" applyFill="1" applyBorder="1" applyAlignment="1">
      <alignment horizontal="left" vertical="top"/>
    </xf>
    <xf numFmtId="0" fontId="11" fillId="0" borderId="12" xfId="2" applyFont="1" applyFill="1" applyBorder="1"/>
    <xf numFmtId="0" fontId="4" fillId="0" borderId="52" xfId="2" applyFont="1" applyFill="1" applyBorder="1" applyAlignment="1"/>
    <xf numFmtId="0" fontId="4" fillId="0" borderId="53" xfId="2" applyFont="1" applyFill="1" applyBorder="1" applyAlignment="1"/>
    <xf numFmtId="0" fontId="30" fillId="0" borderId="53" xfId="2" applyFont="1" applyFill="1" applyBorder="1" applyAlignment="1">
      <alignment horizontal="center"/>
    </xf>
    <xf numFmtId="0" fontId="4" fillId="0" borderId="53" xfId="2" applyFont="1" applyFill="1" applyBorder="1"/>
    <xf numFmtId="0" fontId="4" fillId="0" borderId="55" xfId="2" applyFont="1" applyFill="1" applyBorder="1" applyAlignment="1"/>
    <xf numFmtId="0" fontId="4" fillId="0" borderId="0" xfId="2" applyFont="1" applyFill="1" applyBorder="1" applyAlignment="1"/>
    <xf numFmtId="166" fontId="39" fillId="0" borderId="29" xfId="2" applyNumberFormat="1" applyFont="1" applyFill="1" applyBorder="1" applyAlignment="1">
      <alignment horizontal="center"/>
    </xf>
    <xf numFmtId="170" fontId="39" fillId="0" borderId="0" xfId="2" applyNumberFormat="1" applyFont="1" applyFill="1" applyBorder="1" applyAlignment="1">
      <alignment horizontal="center"/>
    </xf>
    <xf numFmtId="0" fontId="3" fillId="0" borderId="56" xfId="2" quotePrefix="1" applyFont="1" applyFill="1" applyBorder="1" applyAlignment="1">
      <alignment horizontal="center"/>
    </xf>
    <xf numFmtId="166" fontId="39" fillId="0" borderId="30" xfId="2" applyNumberFormat="1" applyFont="1" applyFill="1" applyBorder="1" applyAlignment="1">
      <alignment horizontal="center"/>
    </xf>
    <xf numFmtId="49" fontId="3" fillId="0" borderId="60" xfId="2" applyNumberFormat="1" applyFont="1" applyFill="1" applyBorder="1" applyAlignment="1">
      <alignment horizontal="center"/>
    </xf>
    <xf numFmtId="164" fontId="19" fillId="0" borderId="0" xfId="2" applyNumberFormat="1" applyFont="1" applyFill="1" applyBorder="1" applyAlignment="1">
      <alignment horizontal="center"/>
    </xf>
    <xf numFmtId="0" fontId="19" fillId="0" borderId="55" xfId="2" applyFont="1" applyFill="1" applyBorder="1" applyAlignment="1">
      <alignment horizontal="center"/>
    </xf>
    <xf numFmtId="0" fontId="19" fillId="0" borderId="56" xfId="2" applyFont="1" applyFill="1" applyBorder="1" applyAlignment="1">
      <alignment horizontal="center"/>
    </xf>
    <xf numFmtId="0" fontId="65" fillId="0" borderId="0" xfId="2" applyFont="1" applyBorder="1" applyAlignment="1">
      <alignment horizontal="center"/>
    </xf>
    <xf numFmtId="0" fontId="2" fillId="0" borderId="56" xfId="2" applyFill="1" applyBorder="1" applyAlignment="1">
      <alignment horizontal="center"/>
    </xf>
    <xf numFmtId="0" fontId="19" fillId="0" borderId="59" xfId="2" applyFont="1" applyFill="1" applyBorder="1" applyAlignment="1">
      <alignment horizontal="center"/>
    </xf>
    <xf numFmtId="0" fontId="19" fillId="0" borderId="55" xfId="2" applyFont="1" applyFill="1" applyBorder="1" applyAlignment="1">
      <alignment horizontal="right"/>
    </xf>
    <xf numFmtId="0" fontId="19" fillId="0" borderId="18" xfId="2" applyFont="1" applyFill="1" applyBorder="1" applyAlignment="1">
      <alignment horizontal="left"/>
    </xf>
    <xf numFmtId="0" fontId="19" fillId="0" borderId="0" xfId="2" applyFont="1" applyBorder="1" applyAlignment="1">
      <alignment horizontal="center"/>
    </xf>
    <xf numFmtId="166" fontId="19" fillId="0" borderId="56" xfId="2" applyNumberFormat="1" applyFont="1" applyFill="1" applyBorder="1" applyAlignment="1">
      <alignment horizontal="right"/>
    </xf>
    <xf numFmtId="164" fontId="18" fillId="0" borderId="16" xfId="2" applyNumberFormat="1" applyFont="1" applyFill="1" applyBorder="1" applyAlignment="1"/>
    <xf numFmtId="164" fontId="18" fillId="0" borderId="17" xfId="2" applyNumberFormat="1" applyFont="1" applyFill="1" applyBorder="1" applyAlignment="1"/>
    <xf numFmtId="164" fontId="18" fillId="0" borderId="18" xfId="2" applyNumberFormat="1" applyFont="1" applyFill="1" applyBorder="1" applyAlignment="1"/>
    <xf numFmtId="0" fontId="19" fillId="0" borderId="18" xfId="2" applyFont="1" applyFill="1" applyBorder="1"/>
    <xf numFmtId="164" fontId="18" fillId="0" borderId="5" xfId="2" applyNumberFormat="1" applyFont="1" applyFill="1" applyBorder="1" applyAlignment="1"/>
    <xf numFmtId="164" fontId="18" fillId="0" borderId="0" xfId="2" applyNumberFormat="1" applyFont="1" applyFill="1" applyBorder="1" applyAlignment="1"/>
    <xf numFmtId="164" fontId="18" fillId="0" borderId="12" xfId="2" applyNumberFormat="1" applyFont="1" applyFill="1" applyBorder="1" applyAlignment="1"/>
    <xf numFmtId="0" fontId="19" fillId="0" borderId="59" xfId="2" applyFont="1" applyFill="1" applyBorder="1" applyAlignment="1">
      <alignment horizontal="right"/>
    </xf>
    <xf numFmtId="0" fontId="19" fillId="0" borderId="14" xfId="2" applyFont="1" applyFill="1" applyBorder="1" applyAlignment="1">
      <alignment horizontal="left"/>
    </xf>
    <xf numFmtId="164" fontId="18" fillId="0" borderId="10" xfId="2" applyNumberFormat="1" applyFont="1" applyFill="1" applyBorder="1" applyAlignment="1"/>
    <xf numFmtId="164" fontId="18" fillId="0" borderId="14" xfId="2" applyNumberFormat="1" applyFont="1" applyFill="1" applyBorder="1" applyAlignment="1"/>
    <xf numFmtId="0" fontId="19" fillId="0" borderId="14" xfId="2" applyFont="1" applyFill="1" applyBorder="1"/>
    <xf numFmtId="164" fontId="18" fillId="0" borderId="12" xfId="2" applyNumberFormat="1" applyFont="1" applyFill="1" applyBorder="1" applyAlignment="1">
      <alignment horizontal="left"/>
    </xf>
    <xf numFmtId="166" fontId="19" fillId="0" borderId="56" xfId="2" applyNumberFormat="1" applyFont="1" applyFill="1" applyBorder="1"/>
    <xf numFmtId="164" fontId="18" fillId="0" borderId="1" xfId="2" applyNumberFormat="1" applyFont="1" applyFill="1" applyBorder="1" applyAlignment="1"/>
    <xf numFmtId="166" fontId="19" fillId="0" borderId="5" xfId="2" applyNumberFormat="1" applyFont="1" applyFill="1" applyBorder="1"/>
    <xf numFmtId="0" fontId="19" fillId="0" borderId="0" xfId="2" applyFont="1" applyFill="1" applyBorder="1"/>
    <xf numFmtId="0" fontId="19" fillId="0" borderId="5" xfId="2" applyFont="1" applyBorder="1" applyAlignment="1">
      <alignment horizontal="center"/>
    </xf>
    <xf numFmtId="0" fontId="18" fillId="0" borderId="0" xfId="2" applyFont="1" applyFill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8" fillId="0" borderId="56" xfId="2" applyFont="1" applyFill="1" applyBorder="1"/>
    <xf numFmtId="166" fontId="18" fillId="0" borderId="16" xfId="2" applyNumberFormat="1" applyFont="1" applyFill="1" applyBorder="1"/>
    <xf numFmtId="174" fontId="18" fillId="0" borderId="18" xfId="2" applyNumberFormat="1" applyFont="1" applyFill="1" applyBorder="1" applyAlignment="1"/>
    <xf numFmtId="166" fontId="18" fillId="0" borderId="5" xfId="2" applyNumberFormat="1" applyFont="1" applyFill="1" applyBorder="1"/>
    <xf numFmtId="174" fontId="18" fillId="0" borderId="12" xfId="2" applyNumberFormat="1" applyFont="1" applyFill="1" applyBorder="1" applyAlignment="1"/>
    <xf numFmtId="0" fontId="18" fillId="0" borderId="12" xfId="2" applyFont="1" applyFill="1" applyBorder="1" applyAlignment="1"/>
    <xf numFmtId="166" fontId="18" fillId="0" borderId="10" xfId="2" applyNumberFormat="1" applyFont="1" applyFill="1" applyBorder="1"/>
    <xf numFmtId="174" fontId="18" fillId="0" borderId="14" xfId="2" applyNumberFormat="1" applyFont="1" applyFill="1" applyBorder="1" applyAlignment="1"/>
    <xf numFmtId="0" fontId="19" fillId="0" borderId="55" xfId="2" applyFont="1" applyFill="1" applyBorder="1" applyAlignment="1">
      <alignment horizontal="center" wrapText="1"/>
    </xf>
    <xf numFmtId="0" fontId="19" fillId="0" borderId="0" xfId="2" applyFont="1" applyFill="1" applyBorder="1" applyAlignment="1">
      <alignment horizontal="center" wrapText="1"/>
    </xf>
    <xf numFmtId="164" fontId="19" fillId="0" borderId="11" xfId="2" applyNumberFormat="1" applyFont="1" applyFill="1" applyBorder="1" applyAlignment="1">
      <alignment horizontal="right"/>
    </xf>
    <xf numFmtId="164" fontId="19" fillId="0" borderId="11" xfId="2" applyNumberFormat="1" applyFont="1" applyFill="1" applyBorder="1" applyAlignment="1"/>
    <xf numFmtId="164" fontId="19" fillId="0" borderId="15" xfId="2" applyNumberFormat="1" applyFont="1" applyFill="1" applyBorder="1" applyAlignment="1"/>
    <xf numFmtId="0" fontId="19" fillId="0" borderId="55" xfId="2" applyFont="1" applyFill="1" applyBorder="1" applyAlignment="1">
      <alignment horizontal="center" vertical="top"/>
    </xf>
    <xf numFmtId="0" fontId="19" fillId="0" borderId="0" xfId="2" applyFont="1" applyFill="1" applyBorder="1" applyAlignment="1">
      <alignment horizontal="center" vertical="top"/>
    </xf>
    <xf numFmtId="0" fontId="19" fillId="0" borderId="0" xfId="2" applyFont="1" applyFill="1" applyBorder="1" applyAlignment="1">
      <alignment horizontal="left" vertical="top"/>
    </xf>
    <xf numFmtId="164" fontId="19" fillId="0" borderId="12" xfId="2" applyNumberFormat="1" applyFont="1" applyFill="1" applyBorder="1" applyAlignment="1"/>
    <xf numFmtId="164" fontId="18" fillId="0" borderId="30" xfId="2" applyNumberFormat="1" applyFont="1" applyFill="1" applyBorder="1"/>
    <xf numFmtId="0" fontId="4" fillId="0" borderId="55" xfId="2" applyFont="1" applyFill="1" applyBorder="1"/>
    <xf numFmtId="0" fontId="10" fillId="0" borderId="0" xfId="2" applyFont="1" applyFill="1" applyBorder="1" applyAlignment="1"/>
    <xf numFmtId="166" fontId="18" fillId="0" borderId="0" xfId="2" applyNumberFormat="1" applyFont="1" applyFill="1" applyAlignment="1">
      <alignment horizontal="right"/>
    </xf>
    <xf numFmtId="0" fontId="4" fillId="0" borderId="61" xfId="2" applyFont="1" applyFill="1" applyBorder="1"/>
    <xf numFmtId="0" fontId="4" fillId="0" borderId="62" xfId="2" applyFont="1" applyFill="1" applyBorder="1" applyAlignment="1">
      <alignment horizontal="center"/>
    </xf>
    <xf numFmtId="0" fontId="4" fillId="0" borderId="62" xfId="2" applyFont="1" applyFill="1" applyBorder="1"/>
    <xf numFmtId="0" fontId="18" fillId="0" borderId="62" xfId="2" applyFont="1" applyFill="1" applyBorder="1"/>
    <xf numFmtId="0" fontId="4" fillId="0" borderId="0" xfId="2" applyFont="1" applyFill="1" applyAlignment="1">
      <alignment horizontal="center"/>
    </xf>
    <xf numFmtId="0" fontId="19" fillId="0" borderId="11" xfId="2" applyFont="1" applyBorder="1" applyAlignment="1">
      <alignment horizontal="center"/>
    </xf>
    <xf numFmtId="0" fontId="19" fillId="0" borderId="15" xfId="2" applyFont="1" applyBorder="1" applyAlignment="1">
      <alignment horizontal="center"/>
    </xf>
    <xf numFmtId="0" fontId="111" fillId="12" borderId="41" xfId="0" applyFont="1" applyFill="1" applyBorder="1" applyAlignment="1">
      <alignment horizontal="center"/>
    </xf>
    <xf numFmtId="17" fontId="112" fillId="12" borderId="37" xfId="0" applyNumberFormat="1" applyFont="1" applyFill="1" applyBorder="1" applyAlignment="1">
      <alignment horizontal="center"/>
    </xf>
    <xf numFmtId="0" fontId="111" fillId="12" borderId="37" xfId="0" applyFont="1" applyFill="1" applyBorder="1" applyAlignment="1">
      <alignment horizontal="center"/>
    </xf>
    <xf numFmtId="1" fontId="113" fillId="12" borderId="35" xfId="0" applyNumberFormat="1" applyFont="1" applyFill="1" applyBorder="1" applyAlignment="1">
      <alignment horizontal="center"/>
    </xf>
    <xf numFmtId="0" fontId="114" fillId="12" borderId="35" xfId="0" applyFont="1" applyFill="1" applyBorder="1"/>
    <xf numFmtId="0" fontId="111" fillId="12" borderId="35" xfId="0" applyFont="1" applyFill="1" applyBorder="1" applyAlignment="1">
      <alignment horizontal="center"/>
    </xf>
    <xf numFmtId="3" fontId="113" fillId="12" borderId="35" xfId="0" applyNumberFormat="1" applyFont="1" applyFill="1" applyBorder="1" applyAlignment="1">
      <alignment horizontal="center"/>
    </xf>
    <xf numFmtId="0" fontId="114" fillId="12" borderId="35" xfId="0" applyFont="1" applyFill="1" applyBorder="1" applyAlignment="1">
      <alignment horizontal="center"/>
    </xf>
    <xf numFmtId="0" fontId="114" fillId="12" borderId="33" xfId="0" applyFont="1" applyFill="1" applyBorder="1" applyAlignment="1">
      <alignment horizontal="center"/>
    </xf>
    <xf numFmtId="0" fontId="12" fillId="0" borderId="19" xfId="2" applyFont="1" applyFill="1" applyBorder="1" applyAlignment="1">
      <alignment horizontal="center"/>
    </xf>
    <xf numFmtId="0" fontId="12" fillId="0" borderId="30" xfId="2" applyFont="1" applyFill="1" applyBorder="1" applyAlignment="1">
      <alignment horizontal="center" wrapText="1"/>
    </xf>
    <xf numFmtId="0" fontId="18" fillId="0" borderId="16" xfId="2" applyFont="1" applyFill="1" applyBorder="1"/>
    <xf numFmtId="0" fontId="18" fillId="0" borderId="18" xfId="2" applyFont="1" applyFill="1" applyBorder="1"/>
    <xf numFmtId="0" fontId="18" fillId="0" borderId="12" xfId="2" applyFont="1" applyFill="1" applyBorder="1"/>
    <xf numFmtId="0" fontId="18" fillId="0" borderId="17" xfId="2" applyFont="1" applyFill="1" applyBorder="1"/>
    <xf numFmtId="0" fontId="19" fillId="0" borderId="31" xfId="2" applyFont="1" applyFill="1" applyBorder="1"/>
    <xf numFmtId="0" fontId="11" fillId="0" borderId="10" xfId="2" applyFont="1" applyFill="1" applyBorder="1" applyAlignment="1">
      <alignment horizontal="right"/>
    </xf>
    <xf numFmtId="0" fontId="13" fillId="0" borderId="29" xfId="2" applyFont="1" applyFill="1" applyBorder="1" applyAlignment="1">
      <alignment vertical="top"/>
    </xf>
    <xf numFmtId="0" fontId="19" fillId="0" borderId="29" xfId="2" applyFont="1" applyFill="1" applyBorder="1" applyAlignment="1">
      <alignment horizontal="center"/>
    </xf>
    <xf numFmtId="0" fontId="19" fillId="0" borderId="13" xfId="2" applyFont="1" applyBorder="1" applyAlignment="1">
      <alignment horizontal="center"/>
    </xf>
    <xf numFmtId="164" fontId="18" fillId="0" borderId="31" xfId="2" applyNumberFormat="1" applyFont="1" applyFill="1" applyBorder="1"/>
    <xf numFmtId="164" fontId="18" fillId="0" borderId="31" xfId="2" applyNumberFormat="1" applyFont="1" applyFill="1" applyBorder="1" applyAlignment="1"/>
    <xf numFmtId="164" fontId="18" fillId="0" borderId="29" xfId="2" applyNumberFormat="1" applyFont="1" applyFill="1" applyBorder="1"/>
    <xf numFmtId="164" fontId="18" fillId="0" borderId="29" xfId="2" applyNumberFormat="1" applyFont="1" applyFill="1" applyBorder="1" applyAlignment="1"/>
    <xf numFmtId="164" fontId="18" fillId="0" borderId="30" xfId="2" applyNumberFormat="1" applyFont="1" applyFill="1" applyBorder="1" applyAlignment="1"/>
    <xf numFmtId="164" fontId="18" fillId="0" borderId="29" xfId="2" applyNumberFormat="1" applyFont="1" applyFill="1" applyBorder="1" applyAlignment="1">
      <alignment horizontal="right"/>
    </xf>
    <xf numFmtId="166" fontId="19" fillId="0" borderId="13" xfId="2" applyNumberFormat="1" applyFont="1" applyFill="1" applyBorder="1"/>
    <xf numFmtId="166" fontId="19" fillId="0" borderId="31" xfId="2" applyNumberFormat="1" applyFont="1" applyFill="1" applyBorder="1"/>
    <xf numFmtId="164" fontId="19" fillId="0" borderId="13" xfId="2" applyNumberFormat="1" applyFont="1" applyFill="1" applyBorder="1" applyAlignment="1"/>
    <xf numFmtId="166" fontId="18" fillId="0" borderId="17" xfId="2" applyNumberFormat="1" applyFont="1" applyFill="1" applyBorder="1" applyAlignment="1"/>
    <xf numFmtId="164" fontId="18" fillId="0" borderId="0" xfId="2" applyNumberFormat="1" applyFont="1" applyFill="1" applyBorder="1" applyAlignment="1">
      <alignment vertical="top"/>
    </xf>
    <xf numFmtId="0" fontId="19" fillId="0" borderId="31" xfId="2" applyFont="1" applyFill="1" applyBorder="1" applyAlignment="1">
      <alignment horizontal="center"/>
    </xf>
    <xf numFmtId="0" fontId="18" fillId="0" borderId="31" xfId="2" applyFont="1" applyFill="1" applyBorder="1" applyAlignment="1">
      <alignment horizontal="right"/>
    </xf>
    <xf numFmtId="0" fontId="18" fillId="0" borderId="17" xfId="2" applyFont="1" applyFill="1" applyBorder="1" applyAlignment="1"/>
    <xf numFmtId="166" fontId="19" fillId="0" borderId="55" xfId="2" applyNumberFormat="1" applyFont="1" applyFill="1" applyBorder="1"/>
    <xf numFmtId="0" fontId="18" fillId="0" borderId="31" xfId="2" applyFont="1" applyFill="1" applyBorder="1"/>
    <xf numFmtId="0" fontId="18" fillId="0" borderId="29" xfId="2" applyFont="1" applyFill="1" applyBorder="1"/>
    <xf numFmtId="0" fontId="18" fillId="0" borderId="30" xfId="2" applyFont="1" applyFill="1" applyBorder="1"/>
    <xf numFmtId="0" fontId="3" fillId="0" borderId="0" xfId="2" applyFont="1" applyFill="1" applyBorder="1" applyAlignment="1">
      <alignment horizontal="center"/>
    </xf>
    <xf numFmtId="0" fontId="19" fillId="0" borderId="1" xfId="2" applyFont="1" applyFill="1" applyBorder="1" applyAlignment="1">
      <alignment horizontal="center"/>
    </xf>
    <xf numFmtId="0" fontId="4" fillId="0" borderId="0" xfId="2" applyFont="1"/>
    <xf numFmtId="0" fontId="4" fillId="0" borderId="0" xfId="2" applyFont="1" applyAlignment="1">
      <alignment horizontal="center"/>
    </xf>
    <xf numFmtId="4" fontId="4" fillId="0" borderId="0" xfId="2" applyNumberFormat="1" applyFont="1"/>
    <xf numFmtId="0" fontId="3" fillId="0" borderId="1" xfId="2" applyFont="1" applyBorder="1"/>
    <xf numFmtId="164" fontId="4" fillId="0" borderId="0" xfId="2" applyNumberFormat="1" applyFont="1"/>
    <xf numFmtId="164" fontId="17" fillId="5" borderId="0" xfId="2" applyNumberFormat="1" applyFont="1" applyFill="1"/>
    <xf numFmtId="164" fontId="4" fillId="0" borderId="1" xfId="2" applyNumberFormat="1" applyFont="1" applyBorder="1"/>
    <xf numFmtId="164" fontId="17" fillId="5" borderId="1" xfId="2" applyNumberFormat="1" applyFont="1" applyFill="1" applyBorder="1"/>
    <xf numFmtId="164" fontId="3" fillId="0" borderId="0" xfId="2" applyNumberFormat="1" applyFont="1"/>
    <xf numFmtId="2" fontId="4" fillId="0" borderId="0" xfId="2" applyNumberFormat="1" applyFont="1"/>
    <xf numFmtId="2" fontId="3" fillId="0" borderId="0" xfId="2" applyNumberFormat="1" applyFont="1"/>
    <xf numFmtId="2" fontId="3" fillId="0" borderId="1" xfId="2" applyNumberFormat="1" applyFont="1" applyBorder="1"/>
    <xf numFmtId="0" fontId="2" fillId="0" borderId="0" xfId="2"/>
    <xf numFmtId="0" fontId="3" fillId="0" borderId="1" xfId="2" applyFont="1" applyBorder="1" applyAlignment="1">
      <alignment horizontal="center"/>
    </xf>
    <xf numFmtId="2" fontId="4" fillId="0" borderId="0" xfId="2" applyNumberFormat="1" applyFont="1" applyAlignment="1">
      <alignment horizontal="center"/>
    </xf>
    <xf numFmtId="4" fontId="12" fillId="0" borderId="0" xfId="2" applyNumberFormat="1" applyFont="1" applyAlignment="1">
      <alignment horizontal="center"/>
    </xf>
    <xf numFmtId="0" fontId="12" fillId="0" borderId="0" xfId="2" applyFont="1" applyAlignment="1">
      <alignment horizontal="center"/>
    </xf>
    <xf numFmtId="4" fontId="12" fillId="0" borderId="0" xfId="2" applyNumberFormat="1" applyFont="1"/>
    <xf numFmtId="164" fontId="4" fillId="0" borderId="0" xfId="2" applyNumberFormat="1" applyFont="1" applyFill="1"/>
    <xf numFmtId="164" fontId="17" fillId="0" borderId="0" xfId="2" applyNumberFormat="1" applyFont="1" applyFill="1"/>
    <xf numFmtId="4" fontId="12" fillId="0" borderId="0" xfId="2" applyNumberFormat="1" applyFont="1" applyAlignment="1">
      <alignment horizontal="right"/>
    </xf>
    <xf numFmtId="0" fontId="18" fillId="0" borderId="0" xfId="2" applyFont="1"/>
    <xf numFmtId="2" fontId="3" fillId="0" borderId="0" xfId="2" applyNumberFormat="1" applyFont="1" applyAlignment="1">
      <alignment horizontal="right"/>
    </xf>
    <xf numFmtId="164" fontId="19" fillId="0" borderId="0" xfId="2" applyNumberFormat="1" applyFont="1" applyAlignment="1">
      <alignment horizontal="left"/>
    </xf>
    <xf numFmtId="164" fontId="18" fillId="0" borderId="0" xfId="2" applyNumberFormat="1" applyFont="1" applyAlignment="1">
      <alignment horizontal="left"/>
    </xf>
    <xf numFmtId="164" fontId="27" fillId="0" borderId="0" xfId="2" applyNumberFormat="1" applyFont="1"/>
    <xf numFmtId="2" fontId="18" fillId="0" borderId="0" xfId="2" applyNumberFormat="1" applyFont="1"/>
    <xf numFmtId="164" fontId="57" fillId="0" borderId="0" xfId="2" applyNumberFormat="1" applyFont="1"/>
    <xf numFmtId="164" fontId="19" fillId="0" borderId="0" xfId="2" applyNumberFormat="1" applyFont="1"/>
    <xf numFmtId="2" fontId="4" fillId="0" borderId="0" xfId="2" applyNumberFormat="1" applyFont="1" applyAlignment="1">
      <alignment horizontal="left"/>
    </xf>
    <xf numFmtId="164" fontId="17" fillId="0" borderId="1" xfId="2" applyNumberFormat="1" applyFont="1" applyFill="1" applyBorder="1"/>
    <xf numFmtId="0" fontId="3" fillId="0" borderId="1" xfId="2" applyFont="1" applyBorder="1" applyAlignment="1">
      <alignment horizontal="left"/>
    </xf>
    <xf numFmtId="164" fontId="15" fillId="0" borderId="0" xfId="2" applyNumberFormat="1" applyFont="1"/>
    <xf numFmtId="166" fontId="12" fillId="0" borderId="0" xfId="0" applyNumberFormat="1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8" fillId="0" borderId="55" xfId="2" applyFont="1" applyFill="1" applyBorder="1" applyAlignment="1">
      <alignment horizontal="center"/>
    </xf>
    <xf numFmtId="0" fontId="6" fillId="0" borderId="0" xfId="2" applyFont="1" applyFill="1" applyBorder="1"/>
    <xf numFmtId="0" fontId="6" fillId="0" borderId="20" xfId="2" applyFont="1" applyFill="1" applyBorder="1"/>
    <xf numFmtId="169" fontId="73" fillId="0" borderId="0" xfId="0" applyNumberFormat="1" applyFont="1" applyFill="1" applyBorder="1"/>
    <xf numFmtId="164" fontId="74" fillId="0" borderId="0" xfId="0" applyNumberFormat="1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4" fontId="15" fillId="0" borderId="0" xfId="0" applyNumberFormat="1" applyFont="1" applyBorder="1" applyAlignment="1">
      <alignment horizontal="center"/>
    </xf>
    <xf numFmtId="164" fontId="15" fillId="0" borderId="0" xfId="0" applyNumberFormat="1" applyFont="1" applyBorder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2" fontId="15" fillId="0" borderId="12" xfId="0" applyNumberFormat="1" applyFont="1" applyFill="1" applyBorder="1" applyAlignment="1">
      <alignment horizontal="center"/>
    </xf>
    <xf numFmtId="0" fontId="15" fillId="0" borderId="12" xfId="0" applyFont="1" applyBorder="1" applyAlignment="1">
      <alignment horizontal="center"/>
    </xf>
    <xf numFmtId="14" fontId="15" fillId="0" borderId="12" xfId="0" applyNumberFormat="1" applyFont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3" fillId="0" borderId="0" xfId="2" applyFont="1"/>
    <xf numFmtId="0" fontId="19" fillId="0" borderId="11" xfId="2" applyFont="1" applyFill="1" applyBorder="1" applyAlignment="1">
      <alignment horizontal="center"/>
    </xf>
    <xf numFmtId="0" fontId="19" fillId="0" borderId="19" xfId="2" applyFont="1" applyFill="1" applyBorder="1" applyAlignment="1">
      <alignment horizontal="center"/>
    </xf>
    <xf numFmtId="0" fontId="19" fillId="0" borderId="15" xfId="2" applyFont="1" applyFill="1" applyBorder="1" applyAlignment="1">
      <alignment horizontal="center"/>
    </xf>
    <xf numFmtId="0" fontId="30" fillId="0" borderId="0" xfId="2" applyFont="1" applyFill="1" applyBorder="1" applyAlignment="1">
      <alignment horizontal="center"/>
    </xf>
    <xf numFmtId="0" fontId="30" fillId="0" borderId="0" xfId="2" applyFont="1" applyFill="1" applyAlignment="1">
      <alignment horizontal="center"/>
    </xf>
    <xf numFmtId="8" fontId="4" fillId="0" borderId="0" xfId="0" applyNumberFormat="1" applyFont="1" applyFill="1" applyBorder="1"/>
    <xf numFmtId="164" fontId="4" fillId="0" borderId="1" xfId="0" applyNumberFormat="1" applyFont="1" applyBorder="1"/>
    <xf numFmtId="164" fontId="4" fillId="0" borderId="0" xfId="2" applyNumberFormat="1" applyFont="1" applyBorder="1"/>
    <xf numFmtId="0" fontId="3" fillId="0" borderId="0" xfId="2" applyFont="1" applyBorder="1"/>
    <xf numFmtId="0" fontId="3" fillId="0" borderId="0" xfId="2" applyFont="1" applyBorder="1" applyAlignment="1">
      <alignment horizontal="center"/>
    </xf>
    <xf numFmtId="0" fontId="4" fillId="0" borderId="71" xfId="2" applyFont="1" applyFill="1" applyBorder="1"/>
    <xf numFmtId="166" fontId="19" fillId="0" borderId="56" xfId="2" quotePrefix="1" applyNumberFormat="1" applyFont="1" applyFill="1" applyBorder="1" applyAlignment="1">
      <alignment horizontal="center"/>
    </xf>
    <xf numFmtId="164" fontId="19" fillId="0" borderId="13" xfId="2" applyNumberFormat="1" applyFont="1" applyFill="1" applyBorder="1"/>
    <xf numFmtId="166" fontId="18" fillId="0" borderId="12" xfId="2" applyNumberFormat="1" applyFont="1" applyBorder="1" applyAlignment="1">
      <alignment horizontal="center"/>
    </xf>
    <xf numFmtId="166" fontId="39" fillId="0" borderId="12" xfId="2" applyNumberFormat="1" applyFont="1" applyFill="1" applyBorder="1" applyAlignment="1">
      <alignment horizontal="center"/>
    </xf>
    <xf numFmtId="0" fontId="116" fillId="0" borderId="0" xfId="0" applyFont="1"/>
    <xf numFmtId="0" fontId="116" fillId="0" borderId="0" xfId="0" applyFont="1" applyAlignment="1">
      <alignment horizontal="center"/>
    </xf>
    <xf numFmtId="0" fontId="117" fillId="0" borderId="0" xfId="0" applyFont="1" applyAlignment="1">
      <alignment horizontal="center"/>
    </xf>
    <xf numFmtId="164" fontId="117" fillId="0" borderId="0" xfId="2" applyNumberFormat="1" applyFont="1" applyFill="1" applyBorder="1" applyAlignment="1">
      <alignment horizontal="center"/>
    </xf>
    <xf numFmtId="0" fontId="117" fillId="0" borderId="0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8" fillId="0" borderId="0" xfId="0" applyFont="1" applyAlignment="1">
      <alignment horizontal="center"/>
    </xf>
    <xf numFmtId="0" fontId="117" fillId="0" borderId="0" xfId="0" applyFont="1" applyBorder="1" applyAlignment="1">
      <alignment horizontal="center"/>
    </xf>
    <xf numFmtId="170" fontId="117" fillId="0" borderId="0" xfId="4" applyNumberFormat="1" applyFont="1" applyAlignment="1">
      <alignment horizontal="center"/>
    </xf>
    <xf numFmtId="9" fontId="117" fillId="0" borderId="0" xfId="4" applyFont="1" applyAlignment="1">
      <alignment horizontal="center"/>
    </xf>
    <xf numFmtId="164" fontId="117" fillId="0" borderId="0" xfId="4" applyNumberFormat="1" applyFont="1" applyAlignment="1">
      <alignment horizontal="center"/>
    </xf>
    <xf numFmtId="164" fontId="117" fillId="0" borderId="0" xfId="0" applyNumberFormat="1" applyFont="1" applyAlignment="1">
      <alignment horizontal="center"/>
    </xf>
    <xf numFmtId="177" fontId="119" fillId="0" borderId="0" xfId="0" applyNumberFormat="1" applyFont="1" applyAlignment="1">
      <alignment horizontal="center"/>
    </xf>
    <xf numFmtId="2" fontId="4" fillId="0" borderId="12" xfId="0" applyNumberFormat="1" applyFont="1" applyBorder="1"/>
    <xf numFmtId="164" fontId="4" fillId="0" borderId="12" xfId="0" applyNumberFormat="1" applyFont="1" applyBorder="1"/>
    <xf numFmtId="0" fontId="4" fillId="0" borderId="72" xfId="0" applyFont="1" applyBorder="1"/>
    <xf numFmtId="2" fontId="3" fillId="0" borderId="42" xfId="0" applyNumberFormat="1" applyFont="1" applyBorder="1" applyAlignment="1">
      <alignment horizontal="right"/>
    </xf>
    <xf numFmtId="164" fontId="4" fillId="0" borderId="4" xfId="0" applyNumberFormat="1" applyFont="1" applyBorder="1"/>
    <xf numFmtId="164" fontId="4" fillId="0" borderId="42" xfId="0" applyNumberFormat="1" applyFont="1" applyBorder="1"/>
    <xf numFmtId="164" fontId="3" fillId="0" borderId="65" xfId="0" applyNumberFormat="1" applyFont="1" applyBorder="1" applyAlignment="1">
      <alignment horizontal="left"/>
    </xf>
    <xf numFmtId="0" fontId="3" fillId="0" borderId="21" xfId="2" applyFont="1" applyBorder="1" applyAlignment="1">
      <alignment horizontal="center"/>
    </xf>
    <xf numFmtId="0" fontId="11" fillId="0" borderId="0" xfId="2" applyFont="1" applyBorder="1"/>
    <xf numFmtId="0" fontId="12" fillId="0" borderId="24" xfId="2" applyFont="1" applyBorder="1" applyAlignment="1">
      <alignment horizontal="center"/>
    </xf>
    <xf numFmtId="0" fontId="3" fillId="0" borderId="6" xfId="2" applyFont="1" applyBorder="1"/>
    <xf numFmtId="0" fontId="3" fillId="0" borderId="0" xfId="2" applyFont="1" applyBorder="1" applyAlignment="1">
      <alignment horizontal="left"/>
    </xf>
    <xf numFmtId="4" fontId="12" fillId="0" borderId="0" xfId="2" applyNumberFormat="1" applyFont="1" applyBorder="1"/>
    <xf numFmtId="4" fontId="12" fillId="0" borderId="24" xfId="2" applyNumberFormat="1" applyFont="1" applyBorder="1"/>
    <xf numFmtId="4" fontId="12" fillId="0" borderId="0" xfId="2" applyNumberFormat="1" applyFont="1" applyBorder="1" applyAlignment="1">
      <alignment horizontal="right"/>
    </xf>
    <xf numFmtId="4" fontId="12" fillId="0" borderId="24" xfId="2" applyNumberFormat="1" applyFont="1" applyBorder="1" applyAlignment="1">
      <alignment horizontal="right"/>
    </xf>
    <xf numFmtId="0" fontId="11" fillId="0" borderId="24" xfId="2" applyFont="1" applyBorder="1"/>
    <xf numFmtId="164" fontId="3" fillId="0" borderId="0" xfId="2" applyNumberFormat="1" applyFont="1" applyBorder="1"/>
    <xf numFmtId="0" fontId="4" fillId="0" borderId="7" xfId="2" applyFont="1" applyBorder="1"/>
    <xf numFmtId="164" fontId="15" fillId="0" borderId="4" xfId="2" applyNumberFormat="1" applyFont="1" applyBorder="1"/>
    <xf numFmtId="164" fontId="19" fillId="0" borderId="4" xfId="2" applyNumberFormat="1" applyFont="1" applyBorder="1"/>
    <xf numFmtId="0" fontId="3" fillId="0" borderId="4" xfId="2" applyFont="1" applyBorder="1"/>
    <xf numFmtId="0" fontId="4" fillId="0" borderId="26" xfId="2" applyFont="1" applyBorder="1"/>
    <xf numFmtId="0" fontId="4" fillId="0" borderId="0" xfId="2" applyFont="1" applyBorder="1"/>
    <xf numFmtId="0" fontId="4" fillId="0" borderId="24" xfId="2" applyFont="1" applyBorder="1"/>
    <xf numFmtId="164" fontId="3" fillId="0" borderId="4" xfId="2" applyNumberFormat="1" applyFont="1" applyBorder="1"/>
    <xf numFmtId="0" fontId="3" fillId="0" borderId="4" xfId="2" applyFont="1" applyBorder="1" applyAlignment="1">
      <alignment horizontal="left"/>
    </xf>
    <xf numFmtId="166" fontId="86" fillId="0" borderId="0" xfId="2" applyNumberFormat="1" applyFont="1" applyFill="1" applyBorder="1" applyAlignment="1">
      <alignment horizontal="center"/>
    </xf>
    <xf numFmtId="166" fontId="86" fillId="0" borderId="10" xfId="2" applyNumberFormat="1" applyFont="1" applyFill="1" applyBorder="1" applyAlignment="1">
      <alignment horizontal="center"/>
    </xf>
    <xf numFmtId="166" fontId="39" fillId="0" borderId="10" xfId="2" applyNumberFormat="1" applyFont="1" applyFill="1" applyBorder="1" applyAlignment="1">
      <alignment horizontal="center"/>
    </xf>
    <xf numFmtId="166" fontId="86" fillId="0" borderId="30" xfId="2" applyNumberFormat="1" applyFont="1" applyFill="1" applyBorder="1" applyAlignment="1">
      <alignment horizontal="center"/>
    </xf>
    <xf numFmtId="166" fontId="86" fillId="0" borderId="29" xfId="2" applyNumberFormat="1" applyFont="1" applyFill="1" applyBorder="1" applyAlignment="1">
      <alignment horizontal="center"/>
    </xf>
    <xf numFmtId="166" fontId="32" fillId="0" borderId="69" xfId="0" applyNumberFormat="1" applyFont="1" applyBorder="1" applyAlignment="1">
      <alignment horizontal="center"/>
    </xf>
    <xf numFmtId="166" fontId="32" fillId="0" borderId="69" xfId="0" applyNumberFormat="1" applyFont="1" applyBorder="1" applyAlignment="1" applyProtection="1">
      <alignment horizontal="center"/>
      <protection locked="0"/>
    </xf>
    <xf numFmtId="0" fontId="3" fillId="0" borderId="0" xfId="2" applyFont="1"/>
    <xf numFmtId="0" fontId="19" fillId="0" borderId="11" xfId="2" applyFont="1" applyFill="1" applyBorder="1" applyAlignment="1">
      <alignment horizontal="center"/>
    </xf>
    <xf numFmtId="0" fontId="19" fillId="0" borderId="15" xfId="2" applyFont="1" applyFill="1" applyBorder="1" applyAlignment="1">
      <alignment horizontal="center"/>
    </xf>
    <xf numFmtId="0" fontId="19" fillId="0" borderId="19" xfId="2" applyFont="1" applyFill="1" applyBorder="1" applyAlignment="1">
      <alignment horizontal="center"/>
    </xf>
    <xf numFmtId="0" fontId="19" fillId="0" borderId="13" xfId="2" applyFont="1" applyFill="1" applyBorder="1" applyAlignment="1">
      <alignment horizontal="center"/>
    </xf>
    <xf numFmtId="49" fontId="19" fillId="0" borderId="11" xfId="2" applyNumberFormat="1" applyFont="1" applyFill="1" applyBorder="1" applyAlignment="1">
      <alignment horizontal="center"/>
    </xf>
    <xf numFmtId="49" fontId="19" fillId="0" borderId="15" xfId="2" applyNumberFormat="1" applyFont="1" applyFill="1" applyBorder="1" applyAlignment="1">
      <alignment horizontal="center"/>
    </xf>
    <xf numFmtId="49" fontId="19" fillId="0" borderId="13" xfId="2" applyNumberFormat="1" applyFont="1" applyFill="1" applyBorder="1" applyAlignment="1">
      <alignment horizontal="center"/>
    </xf>
    <xf numFmtId="0" fontId="7" fillId="0" borderId="67" xfId="2" applyFont="1" applyFill="1" applyBorder="1" applyAlignment="1">
      <alignment horizontal="center"/>
    </xf>
    <xf numFmtId="0" fontId="30" fillId="0" borderId="0" xfId="2" applyFont="1" applyFill="1" applyBorder="1" applyAlignment="1">
      <alignment horizontal="center"/>
    </xf>
    <xf numFmtId="165" fontId="18" fillId="0" borderId="29" xfId="2" applyNumberFormat="1" applyFont="1" applyFill="1" applyBorder="1" applyAlignment="1">
      <alignment horizontal="center"/>
    </xf>
    <xf numFmtId="172" fontId="18" fillId="0" borderId="12" xfId="2" applyNumberFormat="1" applyFont="1" applyFill="1" applyBorder="1" applyAlignment="1">
      <alignment horizontal="center"/>
    </xf>
    <xf numFmtId="172" fontId="18" fillId="0" borderId="31" xfId="2" applyNumberFormat="1" applyFont="1" applyBorder="1" applyAlignment="1">
      <alignment horizontal="center"/>
    </xf>
    <xf numFmtId="172" fontId="18" fillId="0" borderId="14" xfId="2" applyNumberFormat="1" applyFont="1" applyFill="1" applyBorder="1" applyAlignment="1">
      <alignment horizontal="center"/>
    </xf>
    <xf numFmtId="165" fontId="18" fillId="0" borderId="30" xfId="2" applyNumberFormat="1" applyFont="1" applyFill="1" applyBorder="1" applyAlignment="1">
      <alignment horizontal="center"/>
    </xf>
    <xf numFmtId="166" fontId="18" fillId="0" borderId="14" xfId="2" applyNumberFormat="1" applyFont="1" applyBorder="1" applyAlignment="1">
      <alignment horizontal="center"/>
    </xf>
    <xf numFmtId="0" fontId="4" fillId="0" borderId="52" xfId="2" applyFont="1" applyFill="1" applyBorder="1"/>
    <xf numFmtId="49" fontId="19" fillId="0" borderId="55" xfId="2" applyNumberFormat="1" applyFont="1" applyFill="1" applyBorder="1" applyAlignment="1">
      <alignment horizontal="center"/>
    </xf>
    <xf numFmtId="0" fontId="19" fillId="0" borderId="59" xfId="2" applyFont="1" applyFill="1" applyBorder="1" applyAlignment="1">
      <alignment horizontal="center" wrapText="1"/>
    </xf>
    <xf numFmtId="0" fontId="19" fillId="0" borderId="55" xfId="2" applyFont="1" applyFill="1" applyBorder="1"/>
    <xf numFmtId="0" fontId="13" fillId="0" borderId="55" xfId="2" applyFont="1" applyFill="1" applyBorder="1" applyAlignment="1">
      <alignment vertical="top"/>
    </xf>
    <xf numFmtId="0" fontId="18" fillId="0" borderId="59" xfId="2" applyFont="1" applyFill="1" applyBorder="1"/>
    <xf numFmtId="0" fontId="13" fillId="0" borderId="55" xfId="2" applyFont="1" applyFill="1" applyBorder="1" applyAlignment="1">
      <alignment horizontal="left" vertical="top"/>
    </xf>
    <xf numFmtId="0" fontId="11" fillId="0" borderId="55" xfId="2" applyFont="1" applyFill="1" applyBorder="1"/>
    <xf numFmtId="164" fontId="19" fillId="0" borderId="55" xfId="2" applyNumberFormat="1" applyFont="1" applyFill="1" applyBorder="1"/>
    <xf numFmtId="0" fontId="4" fillId="0" borderId="56" xfId="2" applyFont="1" applyFill="1" applyBorder="1"/>
    <xf numFmtId="0" fontId="4" fillId="0" borderId="63" xfId="2" applyFont="1" applyFill="1" applyBorder="1"/>
    <xf numFmtId="0" fontId="11" fillId="0" borderId="56" xfId="0" applyFont="1" applyBorder="1" applyAlignment="1">
      <alignment horizontal="center"/>
    </xf>
    <xf numFmtId="0" fontId="14" fillId="0" borderId="59" xfId="0" applyFont="1" applyBorder="1" applyAlignment="1">
      <alignment horizontal="center" wrapText="1"/>
    </xf>
    <xf numFmtId="0" fontId="11" fillId="0" borderId="60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2" fontId="15" fillId="0" borderId="56" xfId="0" applyNumberFormat="1" applyFont="1" applyFill="1" applyBorder="1" applyAlignment="1">
      <alignment horizontal="center"/>
    </xf>
    <xf numFmtId="0" fontId="15" fillId="0" borderId="56" xfId="0" applyFont="1" applyBorder="1" applyAlignment="1">
      <alignment horizontal="center"/>
    </xf>
    <xf numFmtId="14" fontId="15" fillId="0" borderId="56" xfId="0" applyNumberFormat="1" applyFont="1" applyBorder="1" applyAlignment="1">
      <alignment horizontal="center"/>
    </xf>
    <xf numFmtId="0" fontId="15" fillId="0" borderId="56" xfId="0" applyFont="1" applyFill="1" applyBorder="1" applyAlignment="1">
      <alignment horizontal="center"/>
    </xf>
    <xf numFmtId="0" fontId="12" fillId="0" borderId="59" xfId="0" applyFont="1" applyBorder="1" applyAlignment="1">
      <alignment horizontal="center"/>
    </xf>
    <xf numFmtId="0" fontId="15" fillId="0" borderId="60" xfId="0" applyFont="1" applyBorder="1" applyAlignment="1">
      <alignment horizontal="center"/>
    </xf>
    <xf numFmtId="0" fontId="29" fillId="0" borderId="56" xfId="0" applyFont="1" applyBorder="1" applyAlignment="1">
      <alignment horizontal="left"/>
    </xf>
    <xf numFmtId="0" fontId="4" fillId="0" borderId="62" xfId="0" applyFont="1" applyBorder="1" applyAlignment="1">
      <alignment horizontal="right"/>
    </xf>
    <xf numFmtId="0" fontId="4" fillId="0" borderId="73" xfId="0" applyFont="1" applyBorder="1"/>
    <xf numFmtId="0" fontId="4" fillId="0" borderId="64" xfId="0" applyFont="1" applyBorder="1"/>
    <xf numFmtId="0" fontId="4" fillId="0" borderId="4" xfId="0" applyFont="1" applyBorder="1" applyAlignment="1">
      <alignment horizontal="right"/>
    </xf>
    <xf numFmtId="0" fontId="4" fillId="0" borderId="28" xfId="0" applyFont="1" applyBorder="1"/>
    <xf numFmtId="0" fontId="4" fillId="0" borderId="65" xfId="0" applyFont="1" applyBorder="1"/>
    <xf numFmtId="0" fontId="4" fillId="0" borderId="74" xfId="0" applyFont="1" applyBorder="1"/>
    <xf numFmtId="0" fontId="4" fillId="0" borderId="20" xfId="0" applyFont="1" applyBorder="1" applyAlignment="1">
      <alignment horizontal="right"/>
    </xf>
    <xf numFmtId="0" fontId="4" fillId="0" borderId="9" xfId="0" applyFont="1" applyBorder="1"/>
    <xf numFmtId="0" fontId="4" fillId="0" borderId="51" xfId="0" applyFont="1" applyBorder="1"/>
    <xf numFmtId="0" fontId="4" fillId="0" borderId="75" xfId="0" applyFont="1" applyBorder="1"/>
    <xf numFmtId="0" fontId="30" fillId="0" borderId="22" xfId="2" applyFont="1" applyFill="1" applyBorder="1" applyAlignment="1">
      <alignment horizontal="center"/>
    </xf>
    <xf numFmtId="0" fontId="6" fillId="0" borderId="6" xfId="2" applyFont="1" applyFill="1" applyBorder="1"/>
    <xf numFmtId="0" fontId="5" fillId="0" borderId="0" xfId="2" applyFont="1" applyFill="1" applyBorder="1"/>
    <xf numFmtId="0" fontId="4" fillId="0" borderId="24" xfId="2" applyFont="1" applyFill="1" applyBorder="1"/>
    <xf numFmtId="0" fontId="6" fillId="0" borderId="21" xfId="2" applyFont="1" applyFill="1" applyBorder="1"/>
    <xf numFmtId="0" fontId="6" fillId="0" borderId="39" xfId="2" applyFont="1" applyFill="1" applyBorder="1"/>
    <xf numFmtId="0" fontId="5" fillId="0" borderId="6" xfId="2" applyFont="1" applyFill="1" applyBorder="1"/>
    <xf numFmtId="0" fontId="5" fillId="0" borderId="24" xfId="2" applyFont="1" applyFill="1" applyBorder="1"/>
    <xf numFmtId="0" fontId="3" fillId="0" borderId="6" xfId="2" applyFont="1" applyFill="1" applyBorder="1" applyAlignment="1">
      <alignment horizontal="center"/>
    </xf>
    <xf numFmtId="2" fontId="4" fillId="0" borderId="0" xfId="2" applyNumberFormat="1" applyFont="1" applyFill="1" applyBorder="1"/>
    <xf numFmtId="7" fontId="4" fillId="0" borderId="0" xfId="2" applyNumberFormat="1" applyFont="1" applyFill="1" applyBorder="1"/>
    <xf numFmtId="167" fontId="4" fillId="0" borderId="0" xfId="2" applyNumberFormat="1" applyFont="1" applyFill="1" applyBorder="1"/>
    <xf numFmtId="167" fontId="4" fillId="0" borderId="0" xfId="2" applyNumberFormat="1" applyFont="1" applyFill="1" applyBorder="1" applyAlignment="1">
      <alignment horizontal="right"/>
    </xf>
    <xf numFmtId="0" fontId="3" fillId="0" borderId="24" xfId="2" applyFont="1" applyFill="1" applyBorder="1" applyAlignment="1">
      <alignment horizontal="center"/>
    </xf>
    <xf numFmtId="8" fontId="5" fillId="0" borderId="0" xfId="2" applyNumberFormat="1" applyFont="1" applyFill="1" applyBorder="1"/>
    <xf numFmtId="4" fontId="4" fillId="0" borderId="0" xfId="2" applyNumberFormat="1" applyFont="1" applyFill="1" applyBorder="1"/>
    <xf numFmtId="8" fontId="4" fillId="0" borderId="0" xfId="2" applyNumberFormat="1" applyFont="1" applyFill="1" applyBorder="1"/>
    <xf numFmtId="0" fontId="6" fillId="0" borderId="24" xfId="2" applyFont="1" applyFill="1" applyBorder="1"/>
    <xf numFmtId="0" fontId="4" fillId="0" borderId="6" xfId="2" applyFont="1" applyFill="1" applyBorder="1"/>
    <xf numFmtId="0" fontId="3" fillId="0" borderId="6" xfId="2" applyFont="1" applyFill="1" applyBorder="1"/>
    <xf numFmtId="0" fontId="4" fillId="0" borderId="7" xfId="2" applyFont="1" applyFill="1" applyBorder="1"/>
    <xf numFmtId="0" fontId="4" fillId="0" borderId="4" xfId="2" applyFont="1" applyFill="1" applyBorder="1"/>
    <xf numFmtId="0" fontId="4" fillId="0" borderId="26" xfId="2" applyFont="1" applyFill="1" applyBorder="1"/>
    <xf numFmtId="0" fontId="27" fillId="0" borderId="0" xfId="2" applyFont="1" applyFill="1" applyBorder="1"/>
    <xf numFmtId="0" fontId="3" fillId="0" borderId="7" xfId="2" applyFont="1" applyFill="1" applyBorder="1"/>
    <xf numFmtId="0" fontId="27" fillId="0" borderId="4" xfId="2" applyFont="1" applyFill="1" applyBorder="1"/>
    <xf numFmtId="0" fontId="3" fillId="0" borderId="10" xfId="0" applyFont="1" applyBorder="1" applyAlignment="1">
      <alignment horizontal="right"/>
    </xf>
    <xf numFmtId="166" fontId="3" fillId="0" borderId="14" xfId="0" applyNumberFormat="1" applyFont="1" applyBorder="1" applyAlignment="1">
      <alignment horizontal="center"/>
    </xf>
    <xf numFmtId="166" fontId="12" fillId="0" borderId="18" xfId="0" applyNumberFormat="1" applyFont="1" applyFill="1" applyBorder="1" applyAlignment="1">
      <alignment horizontal="center"/>
    </xf>
    <xf numFmtId="166" fontId="12" fillId="0" borderId="12" xfId="0" applyNumberFormat="1" applyFont="1" applyFill="1" applyBorder="1" applyAlignment="1">
      <alignment horizontal="center"/>
    </xf>
    <xf numFmtId="166" fontId="12" fillId="0" borderId="12" xfId="0" applyNumberFormat="1" applyFont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right"/>
    </xf>
    <xf numFmtId="164" fontId="4" fillId="0" borderId="14" xfId="0" applyNumberFormat="1" applyFont="1" applyFill="1" applyBorder="1" applyAlignment="1">
      <alignment horizontal="center"/>
    </xf>
    <xf numFmtId="166" fontId="12" fillId="0" borderId="18" xfId="0" applyNumberFormat="1" applyFont="1" applyBorder="1" applyAlignment="1">
      <alignment horizontal="center"/>
    </xf>
    <xf numFmtId="166" fontId="3" fillId="0" borderId="12" xfId="0" applyNumberFormat="1" applyFont="1" applyBorder="1"/>
    <xf numFmtId="166" fontId="3" fillId="0" borderId="14" xfId="0" applyNumberFormat="1" applyFont="1" applyBorder="1"/>
    <xf numFmtId="166" fontId="3" fillId="0" borderId="1" xfId="0" applyNumberFormat="1" applyFont="1" applyBorder="1" applyAlignment="1">
      <alignment horizontal="center"/>
    </xf>
    <xf numFmtId="0" fontId="19" fillId="0" borderId="13" xfId="2" applyFont="1" applyFill="1" applyBorder="1" applyAlignment="1">
      <alignment horizontal="center"/>
    </xf>
    <xf numFmtId="166" fontId="19" fillId="0" borderId="30" xfId="2" applyNumberFormat="1" applyFont="1" applyFill="1" applyBorder="1"/>
    <xf numFmtId="0" fontId="4" fillId="13" borderId="0" xfId="0" applyFont="1" applyFill="1" applyBorder="1"/>
    <xf numFmtId="0" fontId="4" fillId="13" borderId="0" xfId="0" applyFont="1" applyFill="1" applyBorder="1" applyAlignment="1">
      <alignment horizontal="right"/>
    </xf>
    <xf numFmtId="170" fontId="39" fillId="0" borderId="10" xfId="2" applyNumberFormat="1" applyFont="1" applyFill="1" applyBorder="1" applyAlignment="1">
      <alignment horizontal="center"/>
    </xf>
    <xf numFmtId="0" fontId="3" fillId="0" borderId="77" xfId="2" quotePrefix="1" applyFont="1" applyFill="1" applyBorder="1" applyAlignment="1">
      <alignment horizontal="center"/>
    </xf>
    <xf numFmtId="166" fontId="19" fillId="0" borderId="78" xfId="2" quotePrefix="1" applyNumberFormat="1" applyFont="1" applyFill="1" applyBorder="1" applyAlignment="1">
      <alignment horizontal="center"/>
    </xf>
    <xf numFmtId="170" fontId="39" fillId="0" borderId="5" xfId="2" applyNumberFormat="1" applyFont="1" applyFill="1" applyBorder="1" applyAlignment="1">
      <alignment horizontal="center"/>
    </xf>
    <xf numFmtId="49" fontId="3" fillId="0" borderId="76" xfId="2" applyNumberFormat="1" applyFont="1" applyFill="1" applyBorder="1" applyAlignment="1">
      <alignment horizontal="center"/>
    </xf>
    <xf numFmtId="170" fontId="39" fillId="0" borderId="31" xfId="2" applyNumberFormat="1" applyFont="1" applyFill="1" applyBorder="1" applyAlignment="1">
      <alignment horizontal="center"/>
    </xf>
    <xf numFmtId="170" fontId="39" fillId="0" borderId="29" xfId="2" applyNumberFormat="1" applyFont="1" applyFill="1" applyBorder="1" applyAlignment="1">
      <alignment horizontal="center"/>
    </xf>
    <xf numFmtId="170" fontId="39" fillId="0" borderId="30" xfId="2" applyNumberFormat="1" applyFont="1" applyFill="1" applyBorder="1" applyAlignment="1">
      <alignment horizontal="center"/>
    </xf>
    <xf numFmtId="166" fontId="98" fillId="0" borderId="0" xfId="0" applyNumberFormat="1" applyFont="1" applyFill="1" applyBorder="1"/>
    <xf numFmtId="0" fontId="121" fillId="0" borderId="0" xfId="0" applyFont="1"/>
    <xf numFmtId="0" fontId="121" fillId="0" borderId="0" xfId="2" applyFont="1"/>
    <xf numFmtId="7" fontId="121" fillId="0" borderId="0" xfId="2" applyNumberFormat="1" applyFont="1" applyFill="1" applyBorder="1"/>
    <xf numFmtId="0" fontId="121" fillId="0" borderId="0" xfId="0" applyFont="1" applyBorder="1" applyAlignment="1">
      <alignment horizontal="center"/>
    </xf>
    <xf numFmtId="164" fontId="121" fillId="0" borderId="1" xfId="2" applyNumberFormat="1" applyFont="1" applyFill="1" applyBorder="1"/>
    <xf numFmtId="0" fontId="6" fillId="0" borderId="1" xfId="2" applyFont="1" applyFill="1" applyBorder="1" applyAlignment="1">
      <alignment horizontal="center"/>
    </xf>
    <xf numFmtId="172" fontId="7" fillId="0" borderId="24" xfId="0" applyNumberFormat="1" applyFont="1" applyFill="1" applyBorder="1" applyAlignment="1">
      <alignment horizontal="center"/>
    </xf>
    <xf numFmtId="172" fontId="18" fillId="0" borderId="18" xfId="2" applyNumberFormat="1" applyFont="1" applyFill="1" applyBorder="1" applyAlignment="1">
      <alignment horizontal="center"/>
    </xf>
    <xf numFmtId="17" fontId="4" fillId="0" borderId="1" xfId="0" quotePrefix="1" applyNumberFormat="1" applyFont="1" applyBorder="1" applyAlignment="1" applyProtection="1">
      <alignment horizontal="left"/>
      <protection locked="0"/>
    </xf>
    <xf numFmtId="172" fontId="19" fillId="0" borderId="56" xfId="2" quotePrefix="1" applyNumberFormat="1" applyFont="1" applyFill="1" applyBorder="1" applyAlignment="1">
      <alignment horizontal="center"/>
    </xf>
    <xf numFmtId="172" fontId="19" fillId="0" borderId="78" xfId="2" quotePrefix="1" applyNumberFormat="1" applyFont="1" applyFill="1" applyBorder="1" applyAlignment="1">
      <alignment horizontal="center"/>
    </xf>
    <xf numFmtId="172" fontId="19" fillId="0" borderId="76" xfId="2" quotePrefix="1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0" fontId="4" fillId="0" borderId="7" xfId="0" applyFont="1" applyFill="1" applyBorder="1"/>
    <xf numFmtId="0" fontId="56" fillId="13" borderId="0" xfId="0" applyFont="1" applyFill="1" applyBorder="1" applyAlignment="1"/>
    <xf numFmtId="0" fontId="3" fillId="13" borderId="0" xfId="0" applyFont="1" applyFill="1" applyBorder="1" applyAlignment="1"/>
    <xf numFmtId="166" fontId="98" fillId="0" borderId="0" xfId="0" applyNumberFormat="1" applyFont="1" applyBorder="1"/>
    <xf numFmtId="166" fontId="98" fillId="0" borderId="17" xfId="0" applyNumberFormat="1" applyFont="1" applyBorder="1"/>
    <xf numFmtId="166" fontId="98" fillId="0" borderId="1" xfId="0" applyNumberFormat="1" applyFont="1" applyFill="1" applyBorder="1"/>
    <xf numFmtId="4" fontId="27" fillId="0" borderId="0" xfId="0" applyNumberFormat="1" applyFont="1" applyFill="1" applyBorder="1" applyAlignment="1">
      <alignment horizontal="center"/>
    </xf>
    <xf numFmtId="173" fontId="101" fillId="0" borderId="0" xfId="0" applyNumberFormat="1" applyFont="1" applyBorder="1" applyAlignment="1">
      <alignment horizontal="center"/>
    </xf>
    <xf numFmtId="0" fontId="6" fillId="0" borderId="1" xfId="2" applyFont="1" applyFill="1" applyBorder="1" applyAlignment="1">
      <alignment horizontal="left"/>
    </xf>
    <xf numFmtId="2" fontId="99" fillId="10" borderId="36" xfId="0" applyNumberFormat="1" applyFont="1" applyFill="1" applyBorder="1" applyAlignment="1">
      <alignment horizontal="center"/>
    </xf>
    <xf numFmtId="0" fontId="92" fillId="12" borderId="22" xfId="0" applyFont="1" applyFill="1" applyBorder="1" applyAlignment="1"/>
    <xf numFmtId="17" fontId="92" fillId="12" borderId="36" xfId="0" applyNumberFormat="1" applyFont="1" applyFill="1" applyBorder="1" applyAlignment="1">
      <alignment horizontal="center"/>
    </xf>
    <xf numFmtId="0" fontId="123" fillId="12" borderId="20" xfId="0" applyFont="1" applyFill="1" applyBorder="1" applyAlignment="1">
      <alignment horizontal="center"/>
    </xf>
    <xf numFmtId="0" fontId="123" fillId="12" borderId="20" xfId="0" quotePrefix="1" applyFont="1" applyFill="1" applyBorder="1" applyAlignment="1">
      <alignment horizontal="center"/>
    </xf>
    <xf numFmtId="0" fontId="124" fillId="12" borderId="20" xfId="0" applyFont="1" applyFill="1" applyBorder="1"/>
    <xf numFmtId="0" fontId="92" fillId="12" borderId="6" xfId="0" applyFont="1" applyFill="1" applyBorder="1"/>
    <xf numFmtId="0" fontId="124" fillId="12" borderId="0" xfId="0" applyFont="1" applyFill="1" applyBorder="1"/>
    <xf numFmtId="0" fontId="123" fillId="12" borderId="1" xfId="0" applyFont="1" applyFill="1" applyBorder="1" applyAlignment="1">
      <alignment horizontal="center"/>
    </xf>
    <xf numFmtId="0" fontId="124" fillId="12" borderId="6" xfId="0" applyFont="1" applyFill="1" applyBorder="1"/>
    <xf numFmtId="0" fontId="125" fillId="12" borderId="0" xfId="0" applyFont="1" applyFill="1" applyBorder="1"/>
    <xf numFmtId="1" fontId="123" fillId="12" borderId="0" xfId="0" applyNumberFormat="1" applyFont="1" applyFill="1" applyBorder="1"/>
    <xf numFmtId="3" fontId="123" fillId="12" borderId="0" xfId="0" applyNumberFormat="1" applyFont="1" applyFill="1" applyBorder="1"/>
    <xf numFmtId="3" fontId="124" fillId="12" borderId="0" xfId="0" applyNumberFormat="1" applyFont="1" applyFill="1" applyBorder="1"/>
    <xf numFmtId="173" fontId="124" fillId="12" borderId="0" xfId="0" applyNumberFormat="1" applyFont="1" applyFill="1" applyBorder="1"/>
    <xf numFmtId="173" fontId="123" fillId="12" borderId="0" xfId="0" applyNumberFormat="1" applyFont="1" applyFill="1" applyBorder="1" applyAlignment="1">
      <alignment horizontal="center"/>
    </xf>
    <xf numFmtId="165" fontId="126" fillId="12" borderId="0" xfId="0" applyNumberFormat="1" applyFont="1" applyFill="1" applyBorder="1" applyAlignment="1">
      <alignment horizontal="left"/>
    </xf>
    <xf numFmtId="0" fontId="124" fillId="12" borderId="6" xfId="0" applyFont="1" applyFill="1" applyBorder="1" applyAlignment="1">
      <alignment horizontal="right"/>
    </xf>
    <xf numFmtId="1" fontId="123" fillId="12" borderId="0" xfId="0" applyNumberFormat="1" applyFont="1" applyFill="1" applyBorder="1" applyAlignment="1">
      <alignment horizontal="right"/>
    </xf>
    <xf numFmtId="0" fontId="124" fillId="12" borderId="21" xfId="0" applyFont="1" applyFill="1" applyBorder="1" applyAlignment="1">
      <alignment horizontal="right"/>
    </xf>
    <xf numFmtId="0" fontId="125" fillId="12" borderId="1" xfId="0" applyFont="1" applyFill="1" applyBorder="1"/>
    <xf numFmtId="3" fontId="124" fillId="12" borderId="1" xfId="0" applyNumberFormat="1" applyFont="1" applyFill="1" applyBorder="1" applyAlignment="1">
      <alignment horizontal="right"/>
    </xf>
    <xf numFmtId="3" fontId="124" fillId="12" borderId="1" xfId="0" applyNumberFormat="1" applyFont="1" applyFill="1" applyBorder="1"/>
    <xf numFmtId="0" fontId="124" fillId="12" borderId="1" xfId="0" applyFont="1" applyFill="1" applyBorder="1"/>
    <xf numFmtId="0" fontId="124" fillId="12" borderId="1" xfId="0" applyFont="1" applyFill="1" applyBorder="1" applyAlignment="1">
      <alignment horizontal="center"/>
    </xf>
    <xf numFmtId="165" fontId="126" fillId="12" borderId="1" xfId="0" applyNumberFormat="1" applyFont="1" applyFill="1" applyBorder="1" applyAlignment="1">
      <alignment horizontal="left"/>
    </xf>
    <xf numFmtId="0" fontId="127" fillId="12" borderId="6" xfId="0" applyFont="1" applyFill="1" applyBorder="1"/>
    <xf numFmtId="0" fontId="128" fillId="12" borderId="0" xfId="0" applyFont="1" applyFill="1" applyBorder="1"/>
    <xf numFmtId="0" fontId="128" fillId="12" borderId="0" xfId="0" quotePrefix="1" applyFont="1" applyFill="1" applyBorder="1"/>
    <xf numFmtId="8" fontId="124" fillId="12" borderId="0" xfId="0" applyNumberFormat="1" applyFont="1" applyFill="1" applyBorder="1"/>
    <xf numFmtId="0" fontId="125" fillId="12" borderId="0" xfId="0" applyFont="1" applyFill="1" applyBorder="1" applyAlignment="1">
      <alignment horizontal="center" vertical="center"/>
    </xf>
    <xf numFmtId="40" fontId="128" fillId="12" borderId="0" xfId="0" applyNumberFormat="1" applyFont="1" applyFill="1" applyBorder="1"/>
    <xf numFmtId="8" fontId="125" fillId="12" borderId="0" xfId="0" applyNumberFormat="1" applyFont="1" applyFill="1" applyBorder="1"/>
    <xf numFmtId="0" fontId="124" fillId="12" borderId="0" xfId="0" applyFont="1" applyFill="1" applyBorder="1" applyAlignment="1">
      <alignment horizontal="center" vertical="center"/>
    </xf>
    <xf numFmtId="8" fontId="128" fillId="12" borderId="0" xfId="0" applyNumberFormat="1" applyFont="1" applyFill="1" applyBorder="1"/>
    <xf numFmtId="0" fontId="127" fillId="12" borderId="0" xfId="0" applyFont="1" applyFill="1" applyBorder="1" applyAlignment="1">
      <alignment horizontal="right"/>
    </xf>
    <xf numFmtId="7" fontId="123" fillId="12" borderId="0" xfId="0" applyNumberFormat="1" applyFont="1" applyFill="1" applyBorder="1"/>
    <xf numFmtId="8" fontId="126" fillId="12" borderId="0" xfId="0" applyNumberFormat="1" applyFont="1" applyFill="1" applyBorder="1"/>
    <xf numFmtId="0" fontId="125" fillId="12" borderId="0" xfId="0" applyFont="1" applyFill="1" applyBorder="1" applyAlignment="1">
      <alignment horizontal="right"/>
    </xf>
    <xf numFmtId="174" fontId="128" fillId="12" borderId="0" xfId="0" applyNumberFormat="1" applyFont="1" applyFill="1" applyBorder="1" applyAlignment="1">
      <alignment horizontal="center"/>
    </xf>
    <xf numFmtId="0" fontId="126" fillId="12" borderId="0" xfId="0" applyFont="1" applyFill="1" applyBorder="1"/>
    <xf numFmtId="173" fontId="125" fillId="12" borderId="0" xfId="0" applyNumberFormat="1" applyFont="1" applyFill="1" applyBorder="1" applyAlignment="1">
      <alignment horizontal="center"/>
    </xf>
    <xf numFmtId="0" fontId="129" fillId="12" borderId="0" xfId="0" applyFont="1" applyFill="1" applyBorder="1"/>
    <xf numFmtId="0" fontId="125" fillId="12" borderId="6" xfId="0" applyFont="1" applyFill="1" applyBorder="1" applyAlignment="1">
      <alignment horizontal="right"/>
    </xf>
    <xf numFmtId="169" fontId="125" fillId="12" borderId="0" xfId="0" applyNumberFormat="1" applyFont="1" applyFill="1" applyBorder="1" applyAlignment="1">
      <alignment horizontal="center"/>
    </xf>
    <xf numFmtId="167" fontId="124" fillId="12" borderId="0" xfId="0" applyNumberFormat="1" applyFont="1" applyFill="1" applyBorder="1" applyAlignment="1">
      <alignment horizontal="center"/>
    </xf>
    <xf numFmtId="8" fontId="124" fillId="12" borderId="1" xfId="0" applyNumberFormat="1" applyFont="1" applyFill="1" applyBorder="1"/>
    <xf numFmtId="4" fontId="128" fillId="12" borderId="0" xfId="0" applyNumberFormat="1" applyFont="1" applyFill="1" applyBorder="1"/>
    <xf numFmtId="0" fontId="125" fillId="12" borderId="6" xfId="0" applyFont="1" applyFill="1" applyBorder="1"/>
    <xf numFmtId="3" fontId="124" fillId="12" borderId="0" xfId="0" applyNumberFormat="1" applyFont="1" applyFill="1" applyBorder="1" applyAlignment="1">
      <alignment horizontal="center"/>
    </xf>
    <xf numFmtId="4" fontId="124" fillId="12" borderId="0" xfId="0" applyNumberFormat="1" applyFont="1" applyFill="1" applyBorder="1"/>
    <xf numFmtId="0" fontId="124" fillId="12" borderId="0" xfId="0" applyFont="1" applyFill="1" applyBorder="1" applyAlignment="1">
      <alignment horizontal="right"/>
    </xf>
    <xf numFmtId="44" fontId="124" fillId="12" borderId="0" xfId="5" applyFont="1" applyFill="1" applyBorder="1"/>
    <xf numFmtId="0" fontId="124" fillId="12" borderId="7" xfId="0" applyFont="1" applyFill="1" applyBorder="1"/>
    <xf numFmtId="0" fontId="124" fillId="12" borderId="4" xfId="0" applyFont="1" applyFill="1" applyBorder="1"/>
    <xf numFmtId="0" fontId="124" fillId="12" borderId="4" xfId="0" applyFont="1" applyFill="1" applyBorder="1" applyAlignment="1">
      <alignment horizontal="right"/>
    </xf>
    <xf numFmtId="167" fontId="124" fillId="12" borderId="4" xfId="0" applyNumberFormat="1" applyFont="1" applyFill="1" applyBorder="1" applyAlignment="1">
      <alignment horizontal="center"/>
    </xf>
    <xf numFmtId="0" fontId="20" fillId="0" borderId="0" xfId="0" applyFont="1" applyAlignment="1"/>
    <xf numFmtId="164" fontId="18" fillId="0" borderId="12" xfId="2" applyNumberFormat="1" applyFont="1" applyFill="1" applyBorder="1" applyAlignment="1">
      <alignment horizontal="right"/>
    </xf>
    <xf numFmtId="172" fontId="32" fillId="0" borderId="0" xfId="0" applyNumberFormat="1" applyFont="1" applyFill="1" applyBorder="1" applyAlignment="1">
      <alignment horizontal="center"/>
    </xf>
    <xf numFmtId="0" fontId="6" fillId="0" borderId="1" xfId="2" applyFont="1" applyFill="1" applyBorder="1" applyAlignment="1">
      <alignment horizontal="left"/>
    </xf>
    <xf numFmtId="175" fontId="11" fillId="0" borderId="0" xfId="0" applyNumberFormat="1" applyFont="1" applyBorder="1" applyAlignment="1">
      <alignment horizontal="center"/>
    </xf>
    <xf numFmtId="175" fontId="106" fillId="0" borderId="0" xfId="0" applyNumberFormat="1" applyFont="1" applyBorder="1" applyAlignment="1">
      <alignment horizontal="center"/>
    </xf>
    <xf numFmtId="0" fontId="18" fillId="0" borderId="18" xfId="2" applyFont="1" applyFill="1" applyBorder="1" applyAlignment="1">
      <alignment horizontal="right"/>
    </xf>
    <xf numFmtId="0" fontId="2" fillId="0" borderId="0" xfId="0" applyFont="1" applyAlignment="1">
      <alignment horizontal="centerContinuous"/>
    </xf>
    <xf numFmtId="17" fontId="3" fillId="0" borderId="0" xfId="0" applyNumberFormat="1" applyFont="1" applyAlignment="1">
      <alignment horizontal="centerContinuous"/>
    </xf>
    <xf numFmtId="17" fontId="40" fillId="0" borderId="0" xfId="0" applyNumberFormat="1" applyFont="1" applyAlignment="1">
      <alignment horizontal="centerContinuous"/>
    </xf>
    <xf numFmtId="0" fontId="8" fillId="2" borderId="13" xfId="0" applyFont="1" applyFill="1" applyBorder="1"/>
    <xf numFmtId="0" fontId="3" fillId="14" borderId="13" xfId="0" applyFont="1" applyFill="1" applyBorder="1"/>
    <xf numFmtId="0" fontId="3" fillId="14" borderId="13" xfId="0" applyFont="1" applyFill="1" applyBorder="1" applyAlignment="1">
      <alignment horizontal="center"/>
    </xf>
    <xf numFmtId="0" fontId="122" fillId="0" borderId="0" xfId="0" applyFont="1" applyAlignment="1">
      <alignment horizontal="center"/>
    </xf>
    <xf numFmtId="2" fontId="99" fillId="0" borderId="0" xfId="0" applyNumberFormat="1" applyFont="1" applyAlignment="1">
      <alignment horizontal="center"/>
    </xf>
    <xf numFmtId="0" fontId="99" fillId="0" borderId="0" xfId="0" applyFont="1" applyAlignment="1">
      <alignment horizontal="right"/>
    </xf>
    <xf numFmtId="0" fontId="9" fillId="0" borderId="0" xfId="0" applyFont="1"/>
    <xf numFmtId="2" fontId="0" fillId="0" borderId="0" xfId="0" applyNumberFormat="1"/>
    <xf numFmtId="0" fontId="99" fillId="0" borderId="1" xfId="0" applyFont="1" applyBorder="1"/>
    <xf numFmtId="1" fontId="20" fillId="0" borderId="1" xfId="0" applyNumberFormat="1" applyFont="1" applyFill="1" applyBorder="1"/>
    <xf numFmtId="164" fontId="3" fillId="0" borderId="6" xfId="2" applyNumberFormat="1" applyFont="1" applyBorder="1"/>
    <xf numFmtId="0" fontId="12" fillId="0" borderId="4" xfId="2" applyFont="1" applyBorder="1" applyAlignment="1">
      <alignment horizontal="center"/>
    </xf>
    <xf numFmtId="4" fontId="12" fillId="0" borderId="4" xfId="2" applyNumberFormat="1" applyFont="1" applyBorder="1"/>
    <xf numFmtId="178" fontId="18" fillId="0" borderId="0" xfId="2" applyNumberFormat="1" applyFont="1" applyFill="1" applyBorder="1" applyAlignment="1">
      <alignment vertical="top"/>
    </xf>
    <xf numFmtId="178" fontId="19" fillId="0" borderId="0" xfId="2" applyNumberFormat="1" applyFont="1" applyFill="1" applyBorder="1" applyAlignment="1">
      <alignment horizontal="left" vertical="top"/>
    </xf>
    <xf numFmtId="2" fontId="63" fillId="0" borderId="4" xfId="0" applyNumberFormat="1" applyFont="1" applyFill="1" applyBorder="1" applyAlignment="1">
      <alignment horizontal="center"/>
    </xf>
    <xf numFmtId="0" fontId="20" fillId="0" borderId="0" xfId="0" applyFont="1"/>
    <xf numFmtId="0" fontId="3" fillId="0" borderId="0" xfId="0" applyFont="1" applyAlignment="1">
      <alignment horizontal="center"/>
    </xf>
    <xf numFmtId="49" fontId="4" fillId="5" borderId="6" xfId="0" applyNumberFormat="1" applyFont="1" applyFill="1" applyBorder="1" applyAlignment="1">
      <alignment horizontal="right"/>
    </xf>
    <xf numFmtId="49" fontId="4" fillId="5" borderId="0" xfId="0" applyNumberFormat="1" applyFont="1" applyFill="1" applyBorder="1" applyAlignment="1">
      <alignment horizontal="right"/>
    </xf>
    <xf numFmtId="179" fontId="32" fillId="0" borderId="12" xfId="0" applyNumberFormat="1" applyFont="1" applyFill="1" applyBorder="1" applyAlignment="1" applyProtection="1">
      <alignment horizontal="center"/>
      <protection locked="0"/>
    </xf>
    <xf numFmtId="0" fontId="4" fillId="0" borderId="5" xfId="0" applyNumberFormat="1" applyFont="1" applyFill="1" applyBorder="1" applyAlignment="1" applyProtection="1">
      <protection locked="0"/>
    </xf>
    <xf numFmtId="0" fontId="3" fillId="14" borderId="11" xfId="0" applyFont="1" applyFill="1" applyBorder="1" applyAlignment="1">
      <alignment horizontal="center"/>
    </xf>
    <xf numFmtId="0" fontId="3" fillId="14" borderId="15" xfId="0" applyFont="1" applyFill="1" applyBorder="1" applyAlignment="1">
      <alignment horizontal="center"/>
    </xf>
    <xf numFmtId="0" fontId="20" fillId="0" borderId="0" xfId="0" applyFont="1"/>
    <xf numFmtId="3" fontId="4" fillId="0" borderId="17" xfId="0" applyNumberFormat="1" applyFont="1" applyFill="1" applyBorder="1" applyAlignment="1">
      <alignment horizontal="left"/>
    </xf>
    <xf numFmtId="3" fontId="3" fillId="0" borderId="17" xfId="0" applyNumberFormat="1" applyFont="1" applyFill="1" applyBorder="1" applyAlignment="1">
      <alignment horizontal="left"/>
    </xf>
    <xf numFmtId="0" fontId="7" fillId="0" borderId="6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49" fontId="79" fillId="0" borderId="6" xfId="0" applyNumberFormat="1" applyFont="1" applyBorder="1" applyAlignment="1">
      <alignment horizontal="right"/>
    </xf>
    <xf numFmtId="49" fontId="79" fillId="0" borderId="0" xfId="0" applyNumberFormat="1" applyFont="1" applyBorder="1" applyAlignment="1">
      <alignment horizontal="right"/>
    </xf>
    <xf numFmtId="0" fontId="76" fillId="0" borderId="20" xfId="0" applyFont="1" applyFill="1" applyBorder="1" applyAlignment="1">
      <alignment horizontal="right"/>
    </xf>
    <xf numFmtId="0" fontId="79" fillId="0" borderId="0" xfId="0" applyFont="1" applyFill="1" applyBorder="1" applyAlignment="1">
      <alignment horizontal="right"/>
    </xf>
    <xf numFmtId="49" fontId="79" fillId="0" borderId="6" xfId="0" applyNumberFormat="1" applyFont="1" applyFill="1" applyBorder="1" applyAlignment="1">
      <alignment horizontal="right"/>
    </xf>
    <xf numFmtId="49" fontId="79" fillId="0" borderId="0" xfId="0" applyNumberFormat="1" applyFont="1" applyFill="1" applyBorder="1" applyAlignment="1">
      <alignment horizontal="right"/>
    </xf>
    <xf numFmtId="49" fontId="11" fillId="0" borderId="6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>
      <alignment horizontal="right"/>
    </xf>
    <xf numFmtId="0" fontId="77" fillId="0" borderId="6" xfId="0" applyFont="1" applyFill="1" applyBorder="1" applyAlignment="1">
      <alignment horizontal="right"/>
    </xf>
    <xf numFmtId="0" fontId="77" fillId="0" borderId="0" xfId="0" applyFont="1" applyFill="1" applyBorder="1" applyAlignment="1">
      <alignment horizontal="right"/>
    </xf>
    <xf numFmtId="0" fontId="79" fillId="0" borderId="6" xfId="0" applyFont="1" applyFill="1" applyBorder="1" applyAlignment="1">
      <alignment horizontal="right"/>
    </xf>
    <xf numFmtId="0" fontId="130" fillId="0" borderId="25" xfId="0" applyFont="1" applyFill="1" applyBorder="1" applyAlignment="1">
      <alignment horizontal="center" wrapText="1"/>
    </xf>
    <xf numFmtId="0" fontId="42" fillId="0" borderId="24" xfId="0" applyFont="1" applyFill="1" applyBorder="1" applyAlignment="1">
      <alignment horizontal="center" wrapText="1"/>
    </xf>
    <xf numFmtId="0" fontId="42" fillId="0" borderId="39" xfId="0" applyFont="1" applyFill="1" applyBorder="1" applyAlignment="1">
      <alignment horizontal="center" wrapText="1"/>
    </xf>
    <xf numFmtId="49" fontId="110" fillId="0" borderId="6" xfId="0" applyNumberFormat="1" applyFont="1" applyFill="1" applyBorder="1" applyAlignment="1">
      <alignment horizontal="right"/>
    </xf>
    <xf numFmtId="49" fontId="110" fillId="0" borderId="0" xfId="0" applyNumberFormat="1" applyFont="1" applyFill="1" applyBorder="1" applyAlignment="1">
      <alignment horizontal="right"/>
    </xf>
    <xf numFmtId="3" fontId="56" fillId="0" borderId="0" xfId="0" applyNumberFormat="1" applyFont="1" applyFill="1" applyBorder="1" applyAlignment="1">
      <alignment horizontal="right"/>
    </xf>
    <xf numFmtId="0" fontId="76" fillId="0" borderId="22" xfId="0" applyFont="1" applyFill="1" applyBorder="1" applyAlignment="1">
      <alignment horizontal="right"/>
    </xf>
    <xf numFmtId="0" fontId="84" fillId="6" borderId="44" xfId="0" applyFont="1" applyFill="1" applyBorder="1" applyAlignment="1">
      <alignment horizontal="center"/>
    </xf>
    <xf numFmtId="0" fontId="84" fillId="6" borderId="47" xfId="0" applyFont="1" applyFill="1" applyBorder="1" applyAlignment="1">
      <alignment horizontal="center"/>
    </xf>
    <xf numFmtId="0" fontId="55" fillId="7" borderId="6" xfId="0" applyFont="1" applyFill="1" applyBorder="1" applyAlignment="1">
      <alignment horizontal="center" vertical="center"/>
    </xf>
    <xf numFmtId="0" fontId="55" fillId="7" borderId="24" xfId="0" applyFont="1" applyFill="1" applyBorder="1" applyAlignment="1">
      <alignment horizontal="center" vertical="center"/>
    </xf>
    <xf numFmtId="0" fontId="53" fillId="0" borderId="6" xfId="0" applyFont="1" applyFill="1" applyBorder="1" applyAlignment="1">
      <alignment horizontal="center"/>
    </xf>
    <xf numFmtId="0" fontId="53" fillId="0" borderId="24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right"/>
    </xf>
    <xf numFmtId="0" fontId="12" fillId="0" borderId="6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69" fillId="0" borderId="6" xfId="0" applyFont="1" applyFill="1" applyBorder="1" applyAlignment="1">
      <alignment horizontal="center"/>
    </xf>
    <xf numFmtId="0" fontId="69" fillId="0" borderId="24" xfId="0" applyFont="1" applyFill="1" applyBorder="1" applyAlignment="1">
      <alignment horizontal="center"/>
    </xf>
    <xf numFmtId="0" fontId="59" fillId="0" borderId="6" xfId="0" applyFont="1" applyFill="1" applyBorder="1" applyAlignment="1">
      <alignment horizontal="center"/>
    </xf>
    <xf numFmtId="0" fontId="59" fillId="0" borderId="2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1" fillId="6" borderId="0" xfId="0" applyFont="1" applyFill="1" applyBorder="1" applyAlignment="1">
      <alignment horizontal="right"/>
    </xf>
    <xf numFmtId="0" fontId="75" fillId="6" borderId="48" xfId="0" applyFont="1" applyFill="1" applyBorder="1" applyAlignment="1">
      <alignment horizontal="center"/>
    </xf>
    <xf numFmtId="0" fontId="75" fillId="6" borderId="46" xfId="0" applyFont="1" applyFill="1" applyBorder="1" applyAlignment="1">
      <alignment horizontal="center"/>
    </xf>
    <xf numFmtId="0" fontId="75" fillId="6" borderId="45" xfId="0" applyFont="1" applyFill="1" applyBorder="1" applyAlignment="1">
      <alignment horizontal="center"/>
    </xf>
    <xf numFmtId="0" fontId="103" fillId="10" borderId="11" xfId="0" applyFont="1" applyFill="1" applyBorder="1" applyAlignment="1">
      <alignment horizontal="center"/>
    </xf>
    <xf numFmtId="0" fontId="103" fillId="10" borderId="19" xfId="0" applyFont="1" applyFill="1" applyBorder="1" applyAlignment="1">
      <alignment horizontal="center"/>
    </xf>
    <xf numFmtId="0" fontId="83" fillId="0" borderId="1" xfId="0" applyFont="1" applyFill="1" applyBorder="1" applyAlignment="1">
      <alignment horizontal="center"/>
    </xf>
    <xf numFmtId="0" fontId="56" fillId="0" borderId="6" xfId="0" applyFont="1" applyFill="1" applyBorder="1" applyAlignment="1">
      <alignment horizontal="right"/>
    </xf>
    <xf numFmtId="0" fontId="56" fillId="0" borderId="0" xfId="0" applyFont="1" applyFill="1" applyBorder="1" applyAlignment="1">
      <alignment horizontal="right"/>
    </xf>
    <xf numFmtId="0" fontId="27" fillId="0" borderId="6" xfId="0" applyFont="1" applyFill="1" applyBorder="1" applyAlignment="1">
      <alignment horizontal="right"/>
    </xf>
    <xf numFmtId="0" fontId="27" fillId="0" borderId="0" xfId="0" applyFont="1" applyFill="1" applyBorder="1" applyAlignment="1">
      <alignment horizontal="right"/>
    </xf>
    <xf numFmtId="49" fontId="4" fillId="5" borderId="6" xfId="0" applyNumberFormat="1" applyFont="1" applyFill="1" applyBorder="1" applyAlignment="1">
      <alignment horizontal="right"/>
    </xf>
    <xf numFmtId="49" fontId="4" fillId="5" borderId="0" xfId="0" applyNumberFormat="1" applyFont="1" applyFill="1" applyBorder="1" applyAlignment="1">
      <alignment horizontal="right"/>
    </xf>
    <xf numFmtId="49" fontId="4" fillId="9" borderId="6" xfId="0" applyNumberFormat="1" applyFont="1" applyFill="1" applyBorder="1" applyAlignment="1">
      <alignment horizontal="right"/>
    </xf>
    <xf numFmtId="49" fontId="4" fillId="9" borderId="0" xfId="0" applyNumberFormat="1" applyFont="1" applyFill="1" applyBorder="1" applyAlignment="1">
      <alignment horizontal="right"/>
    </xf>
    <xf numFmtId="0" fontId="15" fillId="0" borderId="0" xfId="0" applyFont="1" applyBorder="1" applyAlignment="1">
      <alignment horizontal="left"/>
    </xf>
    <xf numFmtId="0" fontId="15" fillId="0" borderId="24" xfId="0" applyFont="1" applyBorder="1" applyAlignment="1">
      <alignment horizontal="left"/>
    </xf>
    <xf numFmtId="0" fontId="92" fillId="8" borderId="6" xfId="0" applyFont="1" applyFill="1" applyBorder="1" applyAlignment="1">
      <alignment horizontal="right"/>
    </xf>
    <xf numFmtId="0" fontId="92" fillId="8" borderId="0" xfId="0" applyFont="1" applyFill="1" applyBorder="1" applyAlignment="1">
      <alignment horizontal="right"/>
    </xf>
    <xf numFmtId="3" fontId="56" fillId="0" borderId="6" xfId="0" applyNumberFormat="1" applyFont="1" applyFill="1" applyBorder="1" applyAlignment="1">
      <alignment horizontal="right"/>
    </xf>
    <xf numFmtId="49" fontId="91" fillId="5" borderId="6" xfId="0" applyNumberFormat="1" applyFont="1" applyFill="1" applyBorder="1" applyAlignment="1">
      <alignment horizontal="right"/>
    </xf>
    <xf numFmtId="49" fontId="91" fillId="5" borderId="0" xfId="0" applyNumberFormat="1" applyFont="1" applyFill="1" applyBorder="1" applyAlignment="1">
      <alignment horizontal="right"/>
    </xf>
    <xf numFmtId="49" fontId="4" fillId="3" borderId="6" xfId="0" applyNumberFormat="1" applyFont="1" applyFill="1" applyBorder="1" applyAlignment="1">
      <alignment horizontal="right"/>
    </xf>
    <xf numFmtId="49" fontId="4" fillId="3" borderId="0" xfId="0" applyNumberFormat="1" applyFont="1" applyFill="1" applyBorder="1" applyAlignment="1">
      <alignment horizontal="right"/>
    </xf>
    <xf numFmtId="0" fontId="4" fillId="3" borderId="6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49" fontId="90" fillId="5" borderId="6" xfId="0" applyNumberFormat="1" applyFont="1" applyFill="1" applyBorder="1" applyAlignment="1">
      <alignment horizontal="right"/>
    </xf>
    <xf numFmtId="49" fontId="90" fillId="5" borderId="0" xfId="0" applyNumberFormat="1" applyFont="1" applyFill="1" applyBorder="1" applyAlignment="1">
      <alignment horizontal="right"/>
    </xf>
    <xf numFmtId="0" fontId="3" fillId="5" borderId="5" xfId="0" applyNumberFormat="1" applyFont="1" applyFill="1" applyBorder="1" applyAlignment="1" applyProtection="1">
      <alignment horizontal="center"/>
      <protection locked="0"/>
    </xf>
    <xf numFmtId="0" fontId="3" fillId="5" borderId="0" xfId="0" applyNumberFormat="1" applyFont="1" applyFill="1" applyBorder="1" applyAlignment="1" applyProtection="1">
      <alignment horizontal="center"/>
      <protection locked="0"/>
    </xf>
    <xf numFmtId="0" fontId="3" fillId="5" borderId="12" xfId="0" applyNumberFormat="1" applyFont="1" applyFill="1" applyBorder="1" applyAlignment="1" applyProtection="1">
      <alignment horizontal="center"/>
      <protection locked="0"/>
    </xf>
    <xf numFmtId="0" fontId="3" fillId="5" borderId="0" xfId="0" applyFont="1" applyFill="1" applyAlignment="1">
      <alignment horizontal="left"/>
    </xf>
    <xf numFmtId="4" fontId="3" fillId="5" borderId="20" xfId="0" applyNumberFormat="1" applyFont="1" applyFill="1" applyBorder="1" applyAlignment="1">
      <alignment horizontal="left"/>
    </xf>
    <xf numFmtId="4" fontId="4" fillId="5" borderId="20" xfId="0" applyNumberFormat="1" applyFont="1" applyFill="1" applyBorder="1" applyAlignment="1">
      <alignment horizontal="left"/>
    </xf>
    <xf numFmtId="17" fontId="107" fillId="0" borderId="55" xfId="0" applyNumberFormat="1" applyFont="1" applyBorder="1" applyAlignment="1">
      <alignment horizontal="center"/>
    </xf>
    <xf numFmtId="0" fontId="107" fillId="0" borderId="0" xfId="0" applyFont="1" applyBorder="1" applyAlignment="1">
      <alignment horizontal="center"/>
    </xf>
    <xf numFmtId="0" fontId="107" fillId="0" borderId="56" xfId="0" applyFont="1" applyBorder="1" applyAlignment="1">
      <alignment horizontal="center"/>
    </xf>
    <xf numFmtId="0" fontId="3" fillId="0" borderId="5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0" fillId="0" borderId="64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3" xfId="0" quotePrefix="1" applyFont="1" applyBorder="1" applyAlignment="1">
      <alignment horizontal="justify"/>
    </xf>
    <xf numFmtId="0" fontId="3" fillId="0" borderId="50" xfId="0" quotePrefix="1" applyFont="1" applyBorder="1" applyAlignment="1">
      <alignment horizontal="justify"/>
    </xf>
    <xf numFmtId="2" fontId="7" fillId="0" borderId="52" xfId="0" applyNumberFormat="1" applyFont="1" applyBorder="1" applyAlignment="1">
      <alignment horizontal="center"/>
    </xf>
    <xf numFmtId="2" fontId="7" fillId="0" borderId="53" xfId="0" applyNumberFormat="1" applyFont="1" applyBorder="1" applyAlignment="1">
      <alignment horizontal="center"/>
    </xf>
    <xf numFmtId="2" fontId="7" fillId="0" borderId="54" xfId="0" applyNumberFormat="1" applyFont="1" applyBorder="1" applyAlignment="1">
      <alignment horizontal="center"/>
    </xf>
    <xf numFmtId="2" fontId="7" fillId="0" borderId="55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7" fillId="0" borderId="56" xfId="0" applyNumberFormat="1" applyFont="1" applyBorder="1" applyAlignment="1">
      <alignment horizontal="center"/>
    </xf>
    <xf numFmtId="17" fontId="40" fillId="0" borderId="55" xfId="0" applyNumberFormat="1" applyFont="1" applyBorder="1" applyAlignment="1">
      <alignment horizontal="center"/>
    </xf>
    <xf numFmtId="17" fontId="40" fillId="0" borderId="0" xfId="0" applyNumberFormat="1" applyFont="1" applyBorder="1" applyAlignment="1">
      <alignment horizontal="center"/>
    </xf>
    <xf numFmtId="17" fontId="40" fillId="0" borderId="56" xfId="0" applyNumberFormat="1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7" fillId="0" borderId="60" xfId="2" applyFont="1" applyFill="1" applyBorder="1" applyAlignment="1">
      <alignment horizontal="center"/>
    </xf>
    <xf numFmtId="164" fontId="7" fillId="0" borderId="1" xfId="2" applyNumberFormat="1" applyFont="1" applyFill="1" applyBorder="1" applyAlignment="1">
      <alignment horizontal="center"/>
    </xf>
    <xf numFmtId="0" fontId="7" fillId="0" borderId="66" xfId="2" applyFont="1" applyFill="1" applyBorder="1" applyAlignment="1">
      <alignment horizontal="center"/>
    </xf>
    <xf numFmtId="0" fontId="7" fillId="0" borderId="68" xfId="2" applyFont="1" applyFill="1" applyBorder="1" applyAlignment="1">
      <alignment horizontal="center"/>
    </xf>
    <xf numFmtId="0" fontId="7" fillId="0" borderId="70" xfId="2" applyFont="1" applyFill="1" applyBorder="1" applyAlignment="1">
      <alignment horizontal="center"/>
    </xf>
    <xf numFmtId="0" fontId="7" fillId="0" borderId="67" xfId="2" applyFont="1" applyFill="1" applyBorder="1" applyAlignment="1">
      <alignment horizontal="center"/>
    </xf>
    <xf numFmtId="0" fontId="3" fillId="0" borderId="5" xfId="2" applyFont="1" applyFill="1" applyBorder="1" applyAlignment="1">
      <alignment horizontal="center"/>
    </xf>
    <xf numFmtId="0" fontId="3" fillId="0" borderId="12" xfId="2" applyFont="1" applyFill="1" applyBorder="1" applyAlignment="1">
      <alignment horizontal="center"/>
    </xf>
    <xf numFmtId="0" fontId="3" fillId="0" borderId="5" xfId="2" applyFont="1" applyFill="1" applyBorder="1" applyAlignment="1">
      <alignment horizontal="left"/>
    </xf>
    <xf numFmtId="0" fontId="3" fillId="0" borderId="12" xfId="2" applyFont="1" applyFill="1" applyBorder="1" applyAlignment="1">
      <alignment horizontal="left"/>
    </xf>
    <xf numFmtId="0" fontId="3" fillId="0" borderId="16" xfId="2" applyFont="1" applyFill="1" applyBorder="1" applyAlignment="1">
      <alignment horizontal="center"/>
    </xf>
    <xf numFmtId="0" fontId="3" fillId="0" borderId="18" xfId="2" applyFont="1" applyFill="1" applyBorder="1" applyAlignment="1">
      <alignment horizontal="center"/>
    </xf>
    <xf numFmtId="0" fontId="3" fillId="0" borderId="10" xfId="2" applyFont="1" applyFill="1" applyBorder="1" applyAlignment="1">
      <alignment horizontal="center"/>
    </xf>
    <xf numFmtId="0" fontId="3" fillId="0" borderId="14" xfId="2" applyFont="1" applyFill="1" applyBorder="1" applyAlignment="1">
      <alignment horizontal="center"/>
    </xf>
    <xf numFmtId="1" fontId="19" fillId="4" borderId="11" xfId="2" applyNumberFormat="1" applyFont="1" applyFill="1" applyBorder="1" applyAlignment="1">
      <alignment horizontal="center"/>
    </xf>
    <xf numFmtId="1" fontId="19" fillId="4" borderId="19" xfId="2" applyNumberFormat="1" applyFont="1" applyFill="1" applyBorder="1" applyAlignment="1">
      <alignment horizontal="center"/>
    </xf>
    <xf numFmtId="1" fontId="19" fillId="4" borderId="15" xfId="2" applyNumberFormat="1" applyFont="1" applyFill="1" applyBorder="1" applyAlignment="1">
      <alignment horizontal="center"/>
    </xf>
    <xf numFmtId="49" fontId="19" fillId="0" borderId="13" xfId="2" applyNumberFormat="1" applyFont="1" applyFill="1" applyBorder="1" applyAlignment="1">
      <alignment horizontal="center"/>
    </xf>
    <xf numFmtId="49" fontId="19" fillId="0" borderId="11" xfId="2" applyNumberFormat="1" applyFont="1" applyFill="1" applyBorder="1" applyAlignment="1">
      <alignment horizontal="center"/>
    </xf>
    <xf numFmtId="49" fontId="19" fillId="0" borderId="19" xfId="2" applyNumberFormat="1" applyFont="1" applyFill="1" applyBorder="1" applyAlignment="1">
      <alignment horizontal="center"/>
    </xf>
    <xf numFmtId="49" fontId="19" fillId="0" borderId="15" xfId="2" applyNumberFormat="1" applyFont="1" applyFill="1" applyBorder="1" applyAlignment="1">
      <alignment horizontal="center"/>
    </xf>
    <xf numFmtId="0" fontId="19" fillId="0" borderId="11" xfId="2" applyFont="1" applyFill="1" applyBorder="1" applyAlignment="1">
      <alignment horizontal="center"/>
    </xf>
    <xf numFmtId="0" fontId="19" fillId="0" borderId="15" xfId="2" applyFont="1" applyFill="1" applyBorder="1" applyAlignment="1">
      <alignment horizontal="center"/>
    </xf>
    <xf numFmtId="0" fontId="19" fillId="0" borderId="19" xfId="2" applyFont="1" applyFill="1" applyBorder="1" applyAlignment="1">
      <alignment horizontal="center"/>
    </xf>
    <xf numFmtId="0" fontId="19" fillId="0" borderId="19" xfId="1" applyNumberFormat="1" applyFont="1" applyFill="1" applyBorder="1" applyAlignment="1">
      <alignment horizontal="center"/>
    </xf>
    <xf numFmtId="0" fontId="19" fillId="0" borderId="15" xfId="1" applyNumberFormat="1" applyFont="1" applyFill="1" applyBorder="1" applyAlignment="1">
      <alignment horizontal="center"/>
    </xf>
    <xf numFmtId="0" fontId="19" fillId="0" borderId="11" xfId="1" applyNumberFormat="1" applyFont="1" applyFill="1" applyBorder="1" applyAlignment="1">
      <alignment horizontal="center"/>
    </xf>
    <xf numFmtId="1" fontId="19" fillId="0" borderId="11" xfId="2" applyNumberFormat="1" applyFont="1" applyFill="1" applyBorder="1" applyAlignment="1">
      <alignment horizontal="center"/>
    </xf>
    <xf numFmtId="1" fontId="19" fillId="0" borderId="19" xfId="2" applyNumberFormat="1" applyFont="1" applyFill="1" applyBorder="1" applyAlignment="1">
      <alignment horizontal="center"/>
    </xf>
    <xf numFmtId="1" fontId="19" fillId="0" borderId="15" xfId="2" applyNumberFormat="1" applyFont="1" applyFill="1" applyBorder="1" applyAlignment="1">
      <alignment horizontal="center"/>
    </xf>
    <xf numFmtId="0" fontId="19" fillId="4" borderId="11" xfId="2" applyFont="1" applyFill="1" applyBorder="1" applyAlignment="1">
      <alignment horizontal="center" wrapText="1"/>
    </xf>
    <xf numFmtId="0" fontId="19" fillId="4" borderId="19" xfId="2" applyFont="1" applyFill="1" applyBorder="1" applyAlignment="1">
      <alignment horizontal="center" wrapText="1"/>
    </xf>
    <xf numFmtId="0" fontId="19" fillId="4" borderId="15" xfId="2" applyFont="1" applyFill="1" applyBorder="1" applyAlignment="1">
      <alignment horizontal="center" wrapText="1"/>
    </xf>
    <xf numFmtId="0" fontId="19" fillId="0" borderId="13" xfId="2" applyFont="1" applyFill="1" applyBorder="1" applyAlignment="1">
      <alignment horizontal="center"/>
    </xf>
    <xf numFmtId="0" fontId="2" fillId="0" borderId="13" xfId="2" applyFill="1" applyBorder="1" applyAlignment="1">
      <alignment horizontal="center"/>
    </xf>
    <xf numFmtId="0" fontId="19" fillId="4" borderId="11" xfId="2" applyFont="1" applyFill="1" applyBorder="1" applyAlignment="1">
      <alignment horizontal="center"/>
    </xf>
    <xf numFmtId="0" fontId="19" fillId="4" borderId="15" xfId="2" applyFont="1" applyFill="1" applyBorder="1" applyAlignment="1">
      <alignment horizontal="center"/>
    </xf>
    <xf numFmtId="0" fontId="19" fillId="4" borderId="19" xfId="2" applyFont="1" applyFill="1" applyBorder="1" applyAlignment="1">
      <alignment horizontal="center"/>
    </xf>
    <xf numFmtId="0" fontId="19" fillId="0" borderId="16" xfId="2" applyFont="1" applyFill="1" applyBorder="1" applyAlignment="1">
      <alignment horizontal="center"/>
    </xf>
    <xf numFmtId="0" fontId="19" fillId="0" borderId="17" xfId="2" applyFont="1" applyFill="1" applyBorder="1" applyAlignment="1">
      <alignment horizontal="center"/>
    </xf>
    <xf numFmtId="0" fontId="19" fillId="0" borderId="18" xfId="2" applyFont="1" applyFill="1" applyBorder="1" applyAlignment="1">
      <alignment horizontal="center"/>
    </xf>
    <xf numFmtId="17" fontId="40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164" fontId="19" fillId="0" borderId="14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1" xfId="2" applyFont="1" applyFill="1" applyBorder="1" applyAlignment="1">
      <alignment horizontal="left"/>
    </xf>
    <xf numFmtId="0" fontId="6" fillId="0" borderId="1" xfId="2" quotePrefix="1" applyFont="1" applyFill="1" applyBorder="1" applyAlignment="1">
      <alignment horizontal="center"/>
    </xf>
    <xf numFmtId="0" fontId="6" fillId="0" borderId="39" xfId="2" quotePrefix="1" applyFont="1" applyFill="1" applyBorder="1" applyAlignment="1">
      <alignment horizontal="center"/>
    </xf>
    <xf numFmtId="0" fontId="30" fillId="0" borderId="20" xfId="2" applyFont="1" applyFill="1" applyBorder="1" applyAlignment="1">
      <alignment horizontal="center"/>
    </xf>
    <xf numFmtId="0" fontId="30" fillId="0" borderId="25" xfId="2" applyFont="1" applyFill="1" applyBorder="1" applyAlignment="1">
      <alignment horizontal="center"/>
    </xf>
    <xf numFmtId="0" fontId="3" fillId="0" borderId="22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25" xfId="2" applyFont="1" applyBorder="1" applyAlignment="1">
      <alignment horizontal="center" vertical="center"/>
    </xf>
    <xf numFmtId="0" fontId="119" fillId="0" borderId="0" xfId="0" applyFont="1" applyAlignment="1">
      <alignment horizontal="center"/>
    </xf>
    <xf numFmtId="0" fontId="41" fillId="0" borderId="11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1" fillId="0" borderId="15" xfId="0" applyFont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30" fillId="0" borderId="3" xfId="0" applyFont="1" applyFill="1" applyBorder="1" applyAlignment="1">
      <alignment horizontal="center"/>
    </xf>
    <xf numFmtId="0" fontId="30" fillId="0" borderId="23" xfId="0" applyFont="1" applyFill="1" applyBorder="1" applyAlignment="1">
      <alignment horizontal="center"/>
    </xf>
    <xf numFmtId="0" fontId="42" fillId="0" borderId="0" xfId="0" applyFont="1" applyFill="1" applyAlignment="1">
      <alignment horizontal="right"/>
    </xf>
    <xf numFmtId="3" fontId="32" fillId="0" borderId="11" xfId="0" applyNumberFormat="1" applyFont="1" applyFill="1" applyBorder="1" applyAlignment="1">
      <alignment horizontal="center"/>
    </xf>
    <xf numFmtId="3" fontId="32" fillId="0" borderId="15" xfId="0" applyNumberFormat="1" applyFont="1" applyFill="1" applyBorder="1" applyAlignment="1">
      <alignment horizontal="center"/>
    </xf>
    <xf numFmtId="0" fontId="41" fillId="0" borderId="0" xfId="0" applyFont="1" applyFill="1" applyAlignment="1">
      <alignment horizontal="center"/>
    </xf>
    <xf numFmtId="3" fontId="32" fillId="0" borderId="13" xfId="0" applyNumberFormat="1" applyFont="1" applyFill="1" applyBorder="1" applyAlignment="1">
      <alignment horizontal="center"/>
    </xf>
    <xf numFmtId="0" fontId="32" fillId="0" borderId="13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41" fillId="0" borderId="13" xfId="0" applyFont="1" applyBorder="1" applyAlignment="1">
      <alignment horizontal="center"/>
    </xf>
    <xf numFmtId="171" fontId="18" fillId="0" borderId="0" xfId="0" applyNumberFormat="1" applyFont="1" applyBorder="1" applyAlignment="1">
      <alignment horizontal="center"/>
    </xf>
    <xf numFmtId="0" fontId="18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165" fontId="14" fillId="0" borderId="0" xfId="0" applyNumberFormat="1" applyFont="1" applyBorder="1" applyAlignment="1">
      <alignment horizontal="left"/>
    </xf>
  </cellXfs>
  <cellStyles count="7">
    <cellStyle name="Comma" xfId="1" builtinId="3"/>
    <cellStyle name="Currency" xfId="5" builtinId="4"/>
    <cellStyle name="Normal" xfId="0" builtinId="0"/>
    <cellStyle name="Normal 2" xfId="2" xr:uid="{00000000-0005-0000-0000-000003000000}"/>
    <cellStyle name="Normal 3" xfId="3" xr:uid="{00000000-0005-0000-0000-000004000000}"/>
    <cellStyle name="Normal 4" xfId="6" xr:uid="{00000000-0005-0000-0000-000031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143CAC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 1 Local Production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8788621339345032E-2"/>
          <c:y val="0.13891389864457773"/>
          <c:w val="0.91343357070010345"/>
          <c:h val="0.77420117791771448"/>
        </c:manualLayout>
      </c:layout>
      <c:barChart>
        <c:barDir val="col"/>
        <c:grouping val="clustered"/>
        <c:varyColors val="0"/>
        <c:ser>
          <c:idx val="1"/>
          <c:order val="2"/>
          <c:tx>
            <c:v>2017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'Dist 1 Trends'!$C$3:$C$14</c:f>
              <c:numCache>
                <c:formatCode>General</c:formatCode>
                <c:ptCount val="12"/>
                <c:pt idx="0">
                  <c:v>16.7</c:v>
                </c:pt>
                <c:pt idx="1">
                  <c:v>39.4</c:v>
                </c:pt>
                <c:pt idx="2">
                  <c:v>125.67</c:v>
                </c:pt>
                <c:pt idx="3">
                  <c:v>219.6</c:v>
                </c:pt>
                <c:pt idx="4">
                  <c:v>237.6</c:v>
                </c:pt>
                <c:pt idx="5">
                  <c:v>265.5</c:v>
                </c:pt>
                <c:pt idx="6">
                  <c:v>285.2</c:v>
                </c:pt>
                <c:pt idx="7">
                  <c:v>255</c:v>
                </c:pt>
                <c:pt idx="8">
                  <c:v>176.2</c:v>
                </c:pt>
                <c:pt idx="9">
                  <c:v>66.3</c:v>
                </c:pt>
                <c:pt idx="10">
                  <c:v>53.2</c:v>
                </c:pt>
                <c:pt idx="11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0-4560-8585-7EA4ED69683A}"/>
            </c:ext>
          </c:extLst>
        </c:ser>
        <c:ser>
          <c:idx val="4"/>
          <c:order val="3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'Dist 1 Trends'!$D$3:$D$14</c:f>
              <c:numCache>
                <c:formatCode>General</c:formatCode>
                <c:ptCount val="12"/>
                <c:pt idx="0">
                  <c:v>124.5</c:v>
                </c:pt>
                <c:pt idx="1">
                  <c:v>147.80000000000001</c:v>
                </c:pt>
                <c:pt idx="2">
                  <c:v>63.3</c:v>
                </c:pt>
                <c:pt idx="3">
                  <c:v>158.1</c:v>
                </c:pt>
                <c:pt idx="4">
                  <c:v>179.5</c:v>
                </c:pt>
                <c:pt idx="5">
                  <c:v>161.9</c:v>
                </c:pt>
                <c:pt idx="6">
                  <c:v>218.9</c:v>
                </c:pt>
                <c:pt idx="7">
                  <c:v>212.3</c:v>
                </c:pt>
                <c:pt idx="8">
                  <c:v>186</c:v>
                </c:pt>
                <c:pt idx="9">
                  <c:v>225.4</c:v>
                </c:pt>
                <c:pt idx="10">
                  <c:v>41.23</c:v>
                </c:pt>
                <c:pt idx="11">
                  <c:v>37.1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0-4560-8585-7EA4ED69683A}"/>
            </c:ext>
          </c:extLst>
        </c:ser>
        <c:ser>
          <c:idx val="3"/>
          <c:order val="4"/>
          <c:tx>
            <c:v>2019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'Dist 1 Trends'!$E$3:$E$14</c:f>
              <c:numCache>
                <c:formatCode>General</c:formatCode>
                <c:ptCount val="12"/>
                <c:pt idx="0">
                  <c:v>57.8</c:v>
                </c:pt>
                <c:pt idx="1">
                  <c:v>35.9</c:v>
                </c:pt>
                <c:pt idx="2">
                  <c:v>80.2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3A-4070-83C3-4D0B7B76B9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100"/>
        <c:axId val="215015664"/>
        <c:axId val="2150101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2013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pPr xmlns:c15="http://schemas.microsoft.com/office/drawing/2012/chart">
                        <a:prstGeom prst="rect">
                          <a:avLst/>
                        </a:prstGeom>
                      </c15:spPr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'Dist 1 Trends'!$A$3:$A$14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'Dist 1 Trends'!#REF!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96A0-4560-8585-7EA4ED69683A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v>2015</c:v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800"/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 1 Trends'!$A$3:$A$14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 1 Trends'!#REF!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6A0-4560-8585-7EA4ED69683A}"/>
                  </c:ext>
                </c:extLst>
              </c15:ser>
            </c15:filteredBarSeries>
          </c:ext>
        </c:extLst>
      </c:barChart>
      <c:catAx>
        <c:axId val="21501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010176"/>
        <c:crosses val="autoZero"/>
        <c:auto val="1"/>
        <c:lblAlgn val="ctr"/>
        <c:lblOffset val="100"/>
        <c:noMultiLvlLbl val="0"/>
      </c:catAx>
      <c:valAx>
        <c:axId val="215010176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01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040682480934529"/>
          <c:y val="0.12610431628898414"/>
          <c:w val="6.7685794943086575E-2"/>
          <c:h val="0.230376959030628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District 1 Imported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7342127105906627E-2"/>
          <c:y val="0.13930512312147481"/>
          <c:w val="0.9026622545290105"/>
          <c:h val="0.77356525864026948"/>
        </c:manualLayout>
      </c:layout>
      <c:barChart>
        <c:barDir val="col"/>
        <c:grouping val="clustered"/>
        <c:varyColors val="0"/>
        <c:ser>
          <c:idx val="1"/>
          <c:order val="3"/>
          <c:tx>
            <c:v>2017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'Dist 1 Trends'!$C$21:$C$32</c:f>
              <c:numCache>
                <c:formatCode>General</c:formatCode>
                <c:ptCount val="12"/>
                <c:pt idx="0">
                  <c:v>292.60000000000002</c:v>
                </c:pt>
                <c:pt idx="1">
                  <c:v>238</c:v>
                </c:pt>
                <c:pt idx="2">
                  <c:v>435.3</c:v>
                </c:pt>
                <c:pt idx="3">
                  <c:v>587</c:v>
                </c:pt>
                <c:pt idx="4">
                  <c:v>704.8</c:v>
                </c:pt>
                <c:pt idx="5">
                  <c:v>721.4</c:v>
                </c:pt>
                <c:pt idx="6">
                  <c:v>814.9</c:v>
                </c:pt>
                <c:pt idx="7">
                  <c:v>834.4</c:v>
                </c:pt>
                <c:pt idx="8">
                  <c:v>823.4</c:v>
                </c:pt>
                <c:pt idx="9">
                  <c:v>929.5</c:v>
                </c:pt>
                <c:pt idx="10">
                  <c:v>734</c:v>
                </c:pt>
                <c:pt idx="11">
                  <c:v>832.1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98-489C-94A4-A78C876313B2}"/>
            </c:ext>
          </c:extLst>
        </c:ser>
        <c:ser>
          <c:idx val="4"/>
          <c:order val="4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'Dist 1 Trends'!$D$21:$D$32</c:f>
              <c:numCache>
                <c:formatCode>General</c:formatCode>
                <c:ptCount val="12"/>
                <c:pt idx="0">
                  <c:v>505.2</c:v>
                </c:pt>
                <c:pt idx="1">
                  <c:v>539.1</c:v>
                </c:pt>
                <c:pt idx="2">
                  <c:v>332.8</c:v>
                </c:pt>
                <c:pt idx="3">
                  <c:v>584.70000000000005</c:v>
                </c:pt>
                <c:pt idx="4">
                  <c:v>623.20000000000005</c:v>
                </c:pt>
                <c:pt idx="5">
                  <c:v>740.4</c:v>
                </c:pt>
                <c:pt idx="6">
                  <c:v>847.2</c:v>
                </c:pt>
                <c:pt idx="7">
                  <c:v>846.9</c:v>
                </c:pt>
                <c:pt idx="8">
                  <c:v>713.2</c:v>
                </c:pt>
                <c:pt idx="9">
                  <c:v>636.4</c:v>
                </c:pt>
                <c:pt idx="10">
                  <c:v>705.8</c:v>
                </c:pt>
                <c:pt idx="11">
                  <c:v>432.2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98-489C-94A4-A78C876313B2}"/>
            </c:ext>
          </c:extLst>
        </c:ser>
        <c:ser>
          <c:idx val="5"/>
          <c:order val="5"/>
          <c:tx>
            <c:v>2019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'Dist 1 Trends'!$E$21:$E$32</c:f>
              <c:numCache>
                <c:formatCode>General</c:formatCode>
                <c:ptCount val="12"/>
                <c:pt idx="0">
                  <c:v>328.5</c:v>
                </c:pt>
                <c:pt idx="1">
                  <c:v>231.3</c:v>
                </c:pt>
                <c:pt idx="2">
                  <c:v>326.60000000000002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9-41F0-8274-84F5D453F3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100"/>
        <c:axId val="215009392"/>
        <c:axId val="2150148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2013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pPr xmlns:c15="http://schemas.microsoft.com/office/drawing/2012/chart">
                        <a:prstGeom prst="rect">
                          <a:avLst/>
                        </a:prstGeom>
                      </c15:spPr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'Dist 1 Trends'!$A$21:$A$32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'Dist 1 Trends'!#REF!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C298-489C-94A4-A78C876313B2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v>2015</c:v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800" baseline="0"/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 1 Trends'!$A$21:$A$32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 1 Trends'!#REF!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298-489C-94A4-A78C876313B2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v>2016</c:v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 1 Trends'!$B$21:$B$32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311.39999999999998</c:v>
                      </c:pt>
                      <c:pt idx="1">
                        <c:v>432.2</c:v>
                      </c:pt>
                      <c:pt idx="2">
                        <c:v>382.2</c:v>
                      </c:pt>
                      <c:pt idx="3">
                        <c:v>479.4</c:v>
                      </c:pt>
                      <c:pt idx="4">
                        <c:v>570.29999999999995</c:v>
                      </c:pt>
                      <c:pt idx="5">
                        <c:v>685.3</c:v>
                      </c:pt>
                      <c:pt idx="6" formatCode="0.0">
                        <c:v>766</c:v>
                      </c:pt>
                      <c:pt idx="7">
                        <c:v>762.1</c:v>
                      </c:pt>
                      <c:pt idx="8">
                        <c:v>742</c:v>
                      </c:pt>
                      <c:pt idx="9">
                        <c:v>761.5</c:v>
                      </c:pt>
                      <c:pt idx="10">
                        <c:v>629.70000000000005</c:v>
                      </c:pt>
                      <c:pt idx="11">
                        <c:v>461.6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C298-489C-94A4-A78C876313B2}"/>
                  </c:ext>
                </c:extLst>
              </c15:ser>
            </c15:filteredBarSeries>
          </c:ext>
        </c:extLst>
      </c:barChart>
      <c:catAx>
        <c:axId val="215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014880"/>
        <c:crosses val="autoZero"/>
        <c:auto val="1"/>
        <c:lblAlgn val="ctr"/>
        <c:lblOffset val="100"/>
        <c:noMultiLvlLbl val="0"/>
      </c:catAx>
      <c:valAx>
        <c:axId val="21501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00939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893872494910107"/>
          <c:y val="4.8634047204451671E-3"/>
          <c:w val="6.7764858831898353E-2"/>
          <c:h val="0.231025771756823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District 1 Total Production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7259593471048049E-2"/>
          <c:y val="0.13969868173258004"/>
          <c:w val="0.90548457331401377"/>
          <c:h val="0.77292554532378366"/>
        </c:manualLayout>
      </c:layout>
      <c:barChart>
        <c:barDir val="col"/>
        <c:grouping val="clustered"/>
        <c:varyColors val="0"/>
        <c:ser>
          <c:idx val="1"/>
          <c:order val="3"/>
          <c:tx>
            <c:v>2017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'Dist 1 Trends'!$C$39:$C$50</c:f>
              <c:numCache>
                <c:formatCode>General</c:formatCode>
                <c:ptCount val="12"/>
                <c:pt idx="0">
                  <c:v>309.3</c:v>
                </c:pt>
                <c:pt idx="1">
                  <c:v>277.39999999999998</c:v>
                </c:pt>
                <c:pt idx="2">
                  <c:v>560.97</c:v>
                </c:pt>
                <c:pt idx="3">
                  <c:v>806.6</c:v>
                </c:pt>
                <c:pt idx="4">
                  <c:v>942.4</c:v>
                </c:pt>
                <c:pt idx="5">
                  <c:v>986.9</c:v>
                </c:pt>
                <c:pt idx="6">
                  <c:v>1100.0999999999999</c:v>
                </c:pt>
                <c:pt idx="7">
                  <c:v>1089.4000000000001</c:v>
                </c:pt>
                <c:pt idx="8">
                  <c:v>999.59999999999991</c:v>
                </c:pt>
                <c:pt idx="9">
                  <c:v>995.8</c:v>
                </c:pt>
                <c:pt idx="10">
                  <c:v>787.2</c:v>
                </c:pt>
                <c:pt idx="11">
                  <c:v>845.7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97-4066-A5FE-9FE26B65AA99}"/>
            </c:ext>
          </c:extLst>
        </c:ser>
        <c:ser>
          <c:idx val="4"/>
          <c:order val="4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'Dist 1 Trends'!$D$39:$D$50</c:f>
              <c:numCache>
                <c:formatCode>General</c:formatCode>
                <c:ptCount val="12"/>
                <c:pt idx="0">
                  <c:v>629.70000000000005</c:v>
                </c:pt>
                <c:pt idx="1">
                  <c:v>686.90000000000009</c:v>
                </c:pt>
                <c:pt idx="2">
                  <c:v>396.1</c:v>
                </c:pt>
                <c:pt idx="3">
                  <c:v>742.80000000000007</c:v>
                </c:pt>
                <c:pt idx="4">
                  <c:v>802.7</c:v>
                </c:pt>
                <c:pt idx="5">
                  <c:v>902.3</c:v>
                </c:pt>
                <c:pt idx="6">
                  <c:v>1066.1000000000001</c:v>
                </c:pt>
                <c:pt idx="7">
                  <c:v>1059.2</c:v>
                </c:pt>
                <c:pt idx="8">
                  <c:v>899.2</c:v>
                </c:pt>
                <c:pt idx="9">
                  <c:v>861.8</c:v>
                </c:pt>
                <c:pt idx="10">
                  <c:v>747.03</c:v>
                </c:pt>
                <c:pt idx="11">
                  <c:v>469.3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97-4066-A5FE-9FE26B65AA99}"/>
            </c:ext>
          </c:extLst>
        </c:ser>
        <c:ser>
          <c:idx val="5"/>
          <c:order val="5"/>
          <c:tx>
            <c:v>2019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'Dist 1 Trends'!$E$39:$E$50</c:f>
              <c:numCache>
                <c:formatCode>General</c:formatCode>
                <c:ptCount val="12"/>
                <c:pt idx="0">
                  <c:v>386.3</c:v>
                </c:pt>
                <c:pt idx="1">
                  <c:v>267.2</c:v>
                </c:pt>
                <c:pt idx="2">
                  <c:v>406.8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41-4C62-9545-02D3F0324C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30"/>
        <c:axId val="215009784"/>
        <c:axId val="21501096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2013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pPr xmlns:c15="http://schemas.microsoft.com/office/drawing/2012/chart">
                        <a:prstGeom prst="rect">
                          <a:avLst/>
                        </a:prstGeom>
                      </c15:spPr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'Dist 1 Trends'!$A$39:$A$50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'Dist 1 Trends'!#REF!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FC97-4066-A5FE-9FE26B65AA99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v>2015</c:v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800"/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 1 Trends'!$A$39:$A$50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 1 Trends'!#REF!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C97-4066-A5FE-9FE26B65AA99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v>2016</c:v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 1 Trends'!$B$39:$B$50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373.29999999999995</c:v>
                      </c:pt>
                      <c:pt idx="1">
                        <c:v>555.5</c:v>
                      </c:pt>
                      <c:pt idx="2">
                        <c:v>512.70000000000005</c:v>
                      </c:pt>
                      <c:pt idx="3">
                        <c:v>660.9</c:v>
                      </c:pt>
                      <c:pt idx="4">
                        <c:v>782.9</c:v>
                      </c:pt>
                      <c:pt idx="5">
                        <c:v>926.9</c:v>
                      </c:pt>
                      <c:pt idx="6">
                        <c:v>1032.0999999999999</c:v>
                      </c:pt>
                      <c:pt idx="7">
                        <c:v>1019.1</c:v>
                      </c:pt>
                      <c:pt idx="8">
                        <c:v>949.1</c:v>
                      </c:pt>
                      <c:pt idx="9">
                        <c:v>814.5</c:v>
                      </c:pt>
                      <c:pt idx="10">
                        <c:v>660.80000000000007</c:v>
                      </c:pt>
                      <c:pt idx="11">
                        <c:v>487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FC97-4066-A5FE-9FE26B65AA99}"/>
                  </c:ext>
                </c:extLst>
              </c15:ser>
            </c15:filteredBarSeries>
          </c:ext>
        </c:extLst>
      </c:barChart>
      <c:catAx>
        <c:axId val="215009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010960"/>
        <c:crosses val="autoZero"/>
        <c:auto val="1"/>
        <c:lblAlgn val="ctr"/>
        <c:lblOffset val="100"/>
        <c:noMultiLvlLbl val="0"/>
      </c:catAx>
      <c:valAx>
        <c:axId val="215010960"/>
        <c:scaling>
          <c:orientation val="minMax"/>
          <c:max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009784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4929594327025"/>
          <c:y val="0.13529130892536739"/>
          <c:w val="6.7844115976730984E-2"/>
          <c:h val="0.231678455447306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 19 Local Production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8788621339345032E-2"/>
          <c:y val="0.13891389864457773"/>
          <c:w val="0.91343357070010345"/>
          <c:h val="0.77420117791771448"/>
        </c:manualLayout>
      </c:layout>
      <c:barChart>
        <c:barDir val="col"/>
        <c:grouping val="clustered"/>
        <c:varyColors val="0"/>
        <c:ser>
          <c:idx val="1"/>
          <c:order val="3"/>
          <c:tx>
            <c:v>2017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'Dist 19 Trends'!$C$3:$C$14</c:f>
              <c:numCache>
                <c:formatCode>0.0</c:formatCode>
                <c:ptCount val="12"/>
                <c:pt idx="0">
                  <c:v>37.700000000000003</c:v>
                </c:pt>
                <c:pt idx="1">
                  <c:v>40.200000000000003</c:v>
                </c:pt>
                <c:pt idx="2">
                  <c:v>98.2</c:v>
                </c:pt>
                <c:pt idx="3">
                  <c:v>181.9</c:v>
                </c:pt>
                <c:pt idx="4">
                  <c:v>203.5</c:v>
                </c:pt>
                <c:pt idx="5">
                  <c:v>195.8</c:v>
                </c:pt>
                <c:pt idx="6">
                  <c:v>195.4</c:v>
                </c:pt>
                <c:pt idx="7">
                  <c:v>216.7</c:v>
                </c:pt>
                <c:pt idx="8">
                  <c:v>209.9</c:v>
                </c:pt>
                <c:pt idx="9">
                  <c:v>208.4</c:v>
                </c:pt>
                <c:pt idx="10">
                  <c:v>170.5</c:v>
                </c:pt>
                <c:pt idx="11">
                  <c:v>84.4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29-4890-BF3B-F709A2F395AE}"/>
            </c:ext>
          </c:extLst>
        </c:ser>
        <c:ser>
          <c:idx val="4"/>
          <c:order val="4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'Dist 19 Trends'!$D$3:$D$14</c:f>
              <c:numCache>
                <c:formatCode>0.0</c:formatCode>
                <c:ptCount val="12"/>
                <c:pt idx="0">
                  <c:v>104.9</c:v>
                </c:pt>
                <c:pt idx="1">
                  <c:v>59.9</c:v>
                </c:pt>
                <c:pt idx="2">
                  <c:v>27.7</c:v>
                </c:pt>
                <c:pt idx="3">
                  <c:v>100</c:v>
                </c:pt>
                <c:pt idx="4">
                  <c:v>100.6</c:v>
                </c:pt>
                <c:pt idx="5">
                  <c:v>113.1</c:v>
                </c:pt>
                <c:pt idx="6">
                  <c:v>183.8</c:v>
                </c:pt>
                <c:pt idx="7">
                  <c:v>213.8</c:v>
                </c:pt>
                <c:pt idx="8">
                  <c:v>195.4</c:v>
                </c:pt>
                <c:pt idx="9">
                  <c:v>209.4</c:v>
                </c:pt>
                <c:pt idx="10">
                  <c:v>175.58</c:v>
                </c:pt>
                <c:pt idx="11">
                  <c:v>90.1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29-4890-BF3B-F709A2F395AE}"/>
            </c:ext>
          </c:extLst>
        </c:ser>
        <c:ser>
          <c:idx val="5"/>
          <c:order val="5"/>
          <c:tx>
            <c:v>2019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'Dist 19 Trends'!$E$3:$E$14</c:f>
              <c:numCache>
                <c:formatCode>0.0</c:formatCode>
                <c:ptCount val="12"/>
                <c:pt idx="0">
                  <c:v>55.5</c:v>
                </c:pt>
                <c:pt idx="1">
                  <c:v>41.9</c:v>
                </c:pt>
                <c:pt idx="2">
                  <c:v>74.099999999999994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2-4C24-AB94-110097F210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100"/>
        <c:axId val="215015272"/>
        <c:axId val="2150160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2013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pPr xmlns:c15="http://schemas.microsoft.com/office/drawing/2012/chart">
                        <a:prstGeom prst="rect">
                          <a:avLst/>
                        </a:prstGeom>
                      </c15:spPr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'Dist 19 Trends'!$A$3:$A$14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'Dist 19 Trends'!#REF!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8029-4890-BF3B-F709A2F395AE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 19 Trends'!#REF!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800"/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 19 Trends'!$A$3:$A$14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 19 Trends'!#REF!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029-4890-BF3B-F709A2F395AE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v>2016</c:v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 19 Trends'!$A$3:$A$14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 19 Trends'!$B$3:$B$14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29.6</c:v>
                      </c:pt>
                      <c:pt idx="1">
                        <c:v>108.4</c:v>
                      </c:pt>
                      <c:pt idx="2">
                        <c:v>75.099999999999994</c:v>
                      </c:pt>
                      <c:pt idx="3">
                        <c:v>137.6</c:v>
                      </c:pt>
                      <c:pt idx="4">
                        <c:v>174.1</c:v>
                      </c:pt>
                      <c:pt idx="5">
                        <c:v>203.7</c:v>
                      </c:pt>
                      <c:pt idx="6">
                        <c:v>226.1</c:v>
                      </c:pt>
                      <c:pt idx="7">
                        <c:v>190.4</c:v>
                      </c:pt>
                      <c:pt idx="8">
                        <c:v>203.4</c:v>
                      </c:pt>
                      <c:pt idx="9">
                        <c:v>177.6</c:v>
                      </c:pt>
                      <c:pt idx="10">
                        <c:v>142</c:v>
                      </c:pt>
                      <c:pt idx="11">
                        <c:v>94.5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8029-4890-BF3B-F709A2F395AE}"/>
                  </c:ext>
                </c:extLst>
              </c15:ser>
            </c15:filteredBarSeries>
          </c:ext>
        </c:extLst>
      </c:barChart>
      <c:catAx>
        <c:axId val="215015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016056"/>
        <c:crosses val="autoZero"/>
        <c:auto val="1"/>
        <c:lblAlgn val="ctr"/>
        <c:lblOffset val="100"/>
        <c:noMultiLvlLbl val="0"/>
      </c:catAx>
      <c:valAx>
        <c:axId val="215016056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5015272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507426995522687"/>
          <c:y val="3.9961968787628303E-2"/>
          <c:w val="6.7685794943086575E-2"/>
          <c:h val="0.230376959030628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District 19 Imported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7342127105906627E-2"/>
          <c:y val="0.13930512312147481"/>
          <c:w val="0.9026622545290105"/>
          <c:h val="0.77356525864026948"/>
        </c:manualLayout>
      </c:layout>
      <c:barChart>
        <c:barDir val="col"/>
        <c:grouping val="clustered"/>
        <c:varyColors val="0"/>
        <c:ser>
          <c:idx val="1"/>
          <c:order val="3"/>
          <c:tx>
            <c:v>2017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'Dist 19 Trends'!$C$21:$C$32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51.1</c:v>
                </c:pt>
                <c:pt idx="6">
                  <c:v>58.9</c:v>
                </c:pt>
                <c:pt idx="7">
                  <c:v>51.8</c:v>
                </c:pt>
                <c:pt idx="8">
                  <c:v>38.1</c:v>
                </c:pt>
                <c:pt idx="9">
                  <c:v>45.8</c:v>
                </c:pt>
                <c:pt idx="10">
                  <c:v>25.6</c:v>
                </c:pt>
                <c:pt idx="11">
                  <c:v>147.19999999999999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2F-4A4C-86F6-2D51DC249E3D}"/>
            </c:ext>
          </c:extLst>
        </c:ser>
        <c:ser>
          <c:idx val="4"/>
          <c:order val="4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'Dist 19 Trends'!$D$21:$D$32</c:f>
              <c:numCache>
                <c:formatCode>General</c:formatCode>
                <c:ptCount val="12"/>
                <c:pt idx="0">
                  <c:v>37.799999999999997</c:v>
                </c:pt>
                <c:pt idx="1">
                  <c:v>116.7</c:v>
                </c:pt>
                <c:pt idx="2">
                  <c:v>45.6</c:v>
                </c:pt>
                <c:pt idx="3">
                  <c:v>83.9</c:v>
                </c:pt>
                <c:pt idx="4">
                  <c:v>113.9</c:v>
                </c:pt>
                <c:pt idx="5">
                  <c:v>134.1</c:v>
                </c:pt>
                <c:pt idx="6">
                  <c:v>133.1</c:v>
                </c:pt>
                <c:pt idx="7">
                  <c:v>107.5</c:v>
                </c:pt>
                <c:pt idx="8">
                  <c:v>64.3</c:v>
                </c:pt>
                <c:pt idx="9">
                  <c:v>39.200000000000003</c:v>
                </c:pt>
                <c:pt idx="10">
                  <c:v>19.2</c:v>
                </c:pt>
                <c:pt idx="11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2F-4A4C-86F6-2D51DC249E3D}"/>
            </c:ext>
          </c:extLst>
        </c:ser>
        <c:ser>
          <c:idx val="5"/>
          <c:order val="5"/>
          <c:tx>
            <c:v>2019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'Dist 19 Trends'!$E$21:$E$32</c:f>
              <c:numCache>
                <c:formatCode>General</c:formatCode>
                <c:ptCount val="12"/>
                <c:pt idx="0">
                  <c:v>21.2</c:v>
                </c:pt>
                <c:pt idx="1">
                  <c:v>13.6</c:v>
                </c:pt>
                <c:pt idx="2">
                  <c:v>18.399999999999999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A8-4E97-B6FB-214B4FC167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100"/>
        <c:axId val="303722960"/>
        <c:axId val="3037225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2013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pPr xmlns:c15="http://schemas.microsoft.com/office/drawing/2012/chart">
                        <a:prstGeom prst="rect">
                          <a:avLst/>
                        </a:prstGeom>
                      </c15:spPr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'Dist 19 Trends'!$A$21:$A$32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'Dist 19 Trends'!#REF!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42F-4A4C-86F6-2D51DC249E3D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 19 Trends'!#REF!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800"/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 19 Trends'!$A$21:$A$32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 19 Trends'!#REF!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42F-4A4C-86F6-2D51DC249E3D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v>2016</c:v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 19 Trends'!$A$21:$A$32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 19 Trends'!$B$21:$B$32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 formatCode="General">
                        <c:v>28.5</c:v>
                      </c:pt>
                      <c:pt idx="1">
                        <c:v>8</c:v>
                      </c:pt>
                      <c:pt idx="2" formatCode="General">
                        <c:v>22.1</c:v>
                      </c:pt>
                      <c:pt idx="3" formatCode="General">
                        <c:v>10.199999999999999</c:v>
                      </c:pt>
                      <c:pt idx="4" formatCode="General">
                        <c:v>2.1</c:v>
                      </c:pt>
                      <c:pt idx="5" formatCode="General">
                        <c:v>8.9</c:v>
                      </c:pt>
                      <c:pt idx="6" formatCode="General">
                        <c:v>26.3</c:v>
                      </c:pt>
                      <c:pt idx="7" formatCode="General">
                        <c:v>65.599999999999994</c:v>
                      </c:pt>
                      <c:pt idx="8" formatCode="General">
                        <c:v>44.8</c:v>
                      </c:pt>
                      <c:pt idx="9" formatCode="General">
                        <c:v>34.9</c:v>
                      </c:pt>
                      <c:pt idx="10" formatCode="General">
                        <c:v>0.6</c:v>
                      </c:pt>
                      <c:pt idx="11" formatCode="General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642F-4A4C-86F6-2D51DC249E3D}"/>
                  </c:ext>
                </c:extLst>
              </c15:ser>
            </c15:filteredBarSeries>
          </c:ext>
        </c:extLst>
      </c:barChart>
      <c:catAx>
        <c:axId val="30372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722568"/>
        <c:crosses val="autoZero"/>
        <c:auto val="1"/>
        <c:lblAlgn val="ctr"/>
        <c:lblOffset val="100"/>
        <c:noMultiLvlLbl val="0"/>
      </c:catAx>
      <c:valAx>
        <c:axId val="303722568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722960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45150489366399"/>
          <c:y val="0.15134223464057234"/>
          <c:w val="6.7764858831898353E-2"/>
          <c:h val="0.231025771756823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District 19 Total Production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7259593471048049E-2"/>
          <c:y val="0.13969868173258004"/>
          <c:w val="0.90548457331401377"/>
          <c:h val="0.77292554532378366"/>
        </c:manualLayout>
      </c:layout>
      <c:barChart>
        <c:barDir val="col"/>
        <c:grouping val="clustered"/>
        <c:varyColors val="0"/>
        <c:ser>
          <c:idx val="1"/>
          <c:order val="3"/>
          <c:tx>
            <c:v>2017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'Dist 19 Trends'!$C$39:$C$50</c:f>
              <c:numCache>
                <c:formatCode>General</c:formatCode>
                <c:ptCount val="12"/>
                <c:pt idx="0">
                  <c:v>37.700000000000003</c:v>
                </c:pt>
                <c:pt idx="1">
                  <c:v>40.200000000000003</c:v>
                </c:pt>
                <c:pt idx="2">
                  <c:v>98.2</c:v>
                </c:pt>
                <c:pt idx="3">
                  <c:v>181.9</c:v>
                </c:pt>
                <c:pt idx="4">
                  <c:v>203.5</c:v>
                </c:pt>
                <c:pt idx="5">
                  <c:v>246.9</c:v>
                </c:pt>
                <c:pt idx="6">
                  <c:v>254.3</c:v>
                </c:pt>
                <c:pt idx="7">
                  <c:v>268.5</c:v>
                </c:pt>
                <c:pt idx="8">
                  <c:v>248</c:v>
                </c:pt>
                <c:pt idx="9">
                  <c:v>254.2</c:v>
                </c:pt>
                <c:pt idx="10">
                  <c:v>196.1</c:v>
                </c:pt>
                <c:pt idx="11">
                  <c:v>231.6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F-4E62-B385-07D57BD48824}"/>
            </c:ext>
          </c:extLst>
        </c:ser>
        <c:ser>
          <c:idx val="4"/>
          <c:order val="4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'Dist 19 Trends'!$D$39:$D$50</c:f>
              <c:numCache>
                <c:formatCode>General</c:formatCode>
                <c:ptCount val="12"/>
                <c:pt idx="0">
                  <c:v>142.69999999999999</c:v>
                </c:pt>
                <c:pt idx="1">
                  <c:v>176.6</c:v>
                </c:pt>
                <c:pt idx="2">
                  <c:v>73.3</c:v>
                </c:pt>
                <c:pt idx="3">
                  <c:v>183.9</c:v>
                </c:pt>
                <c:pt idx="4">
                  <c:v>214.5</c:v>
                </c:pt>
                <c:pt idx="5">
                  <c:v>247.2</c:v>
                </c:pt>
                <c:pt idx="6">
                  <c:v>316.89999999999998</c:v>
                </c:pt>
                <c:pt idx="7">
                  <c:v>321.3</c:v>
                </c:pt>
                <c:pt idx="8">
                  <c:v>259.7</c:v>
                </c:pt>
                <c:pt idx="9">
                  <c:v>248.60000000000002</c:v>
                </c:pt>
                <c:pt idx="10">
                  <c:v>194.78</c:v>
                </c:pt>
                <c:pt idx="11">
                  <c:v>100.3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F-4E62-B385-07D57BD48824}"/>
            </c:ext>
          </c:extLst>
        </c:ser>
        <c:ser>
          <c:idx val="5"/>
          <c:order val="5"/>
          <c:tx>
            <c:v>2019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'Dist 19 Trends'!$E$39:$E$50</c:f>
              <c:numCache>
                <c:formatCode>General</c:formatCode>
                <c:ptCount val="12"/>
                <c:pt idx="0">
                  <c:v>76.7</c:v>
                </c:pt>
                <c:pt idx="1">
                  <c:v>55.5</c:v>
                </c:pt>
                <c:pt idx="2">
                  <c:v>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2-421A-8609-9E28F7D008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100"/>
        <c:axId val="303715904"/>
        <c:axId val="3037166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2013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pPr xmlns:c15="http://schemas.microsoft.com/office/drawing/2012/chart">
                        <a:prstGeom prst="rect">
                          <a:avLst/>
                        </a:prstGeom>
                      </c15:spPr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'Dist 19 Trends'!$A$39:$A$50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'Dist 19 Trends'!#REF!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FCF-4E62-B385-07D57BD48824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 19 Trends'!#REF!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800"/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 19 Trends'!$A$39:$A$50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 19 Trends'!#REF!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FCF-4E62-B385-07D57BD48824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v>2016</c:v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 19 Trends'!$A$39:$A$50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 19 Trends'!$B$39:$B$50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58.1</c:v>
                      </c:pt>
                      <c:pt idx="1">
                        <c:v>116.4</c:v>
                      </c:pt>
                      <c:pt idx="2">
                        <c:v>97.199999999999989</c:v>
                      </c:pt>
                      <c:pt idx="3">
                        <c:v>147.79999999999998</c:v>
                      </c:pt>
                      <c:pt idx="4">
                        <c:v>176.2</c:v>
                      </c:pt>
                      <c:pt idx="5">
                        <c:v>212.6</c:v>
                      </c:pt>
                      <c:pt idx="6">
                        <c:v>252.4</c:v>
                      </c:pt>
                      <c:pt idx="7" formatCode="0.0">
                        <c:v>256</c:v>
                      </c:pt>
                      <c:pt idx="8" formatCode="0.0">
                        <c:v>248.2</c:v>
                      </c:pt>
                      <c:pt idx="9" formatCode="0.0">
                        <c:v>212.5</c:v>
                      </c:pt>
                      <c:pt idx="10" formatCode="0.0">
                        <c:v>142.6</c:v>
                      </c:pt>
                      <c:pt idx="11" formatCode="0.0">
                        <c:v>94.5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0FCF-4E62-B385-07D57BD48824}"/>
                  </c:ext>
                </c:extLst>
              </c15:ser>
            </c15:filteredBarSeries>
          </c:ext>
        </c:extLst>
      </c:barChart>
      <c:catAx>
        <c:axId val="30371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716688"/>
        <c:crosses val="autoZero"/>
        <c:auto val="1"/>
        <c:lblAlgn val="ctr"/>
        <c:lblOffset val="100"/>
        <c:noMultiLvlLbl val="0"/>
      </c:catAx>
      <c:valAx>
        <c:axId val="303716688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71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942863194732239"/>
          <c:y val="0.13529130892536739"/>
          <c:w val="6.7844115976730984E-2"/>
          <c:h val="0.231678455447306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5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District 17 Production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4476046802560901E-2"/>
          <c:y val="0.13930509394540982"/>
          <c:w val="0.9026622545290105"/>
          <c:h val="0.77356525864026948"/>
        </c:manualLayout>
      </c:layout>
      <c:barChart>
        <c:barDir val="col"/>
        <c:grouping val="clustered"/>
        <c:varyColors val="0"/>
        <c:ser>
          <c:idx val="3"/>
          <c:order val="3"/>
          <c:tx>
            <c:v>2017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'Dist 17 Trends'!$C$3:$C$14</c:f>
              <c:numCache>
                <c:formatCode>0.0</c:formatCode>
                <c:ptCount val="12"/>
                <c:pt idx="0">
                  <c:v>38.6</c:v>
                </c:pt>
                <c:pt idx="1">
                  <c:v>31</c:v>
                </c:pt>
                <c:pt idx="2">
                  <c:v>63.7</c:v>
                </c:pt>
                <c:pt idx="3">
                  <c:v>94.8</c:v>
                </c:pt>
                <c:pt idx="4">
                  <c:v>99.5</c:v>
                </c:pt>
                <c:pt idx="5">
                  <c:v>111.9</c:v>
                </c:pt>
                <c:pt idx="6">
                  <c:v>128.1</c:v>
                </c:pt>
                <c:pt idx="7">
                  <c:v>129.1</c:v>
                </c:pt>
                <c:pt idx="8">
                  <c:v>110</c:v>
                </c:pt>
                <c:pt idx="9">
                  <c:v>118.8</c:v>
                </c:pt>
                <c:pt idx="10">
                  <c:v>90.4</c:v>
                </c:pt>
                <c:pt idx="11">
                  <c:v>90.1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96-4D52-96C3-EA886332775B}"/>
            </c:ext>
          </c:extLst>
        </c:ser>
        <c:ser>
          <c:idx val="4"/>
          <c:order val="4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'Dist 17 Trends'!$D$3:$D$14</c:f>
              <c:numCache>
                <c:formatCode>0.0</c:formatCode>
                <c:ptCount val="12"/>
                <c:pt idx="0">
                  <c:v>77.2</c:v>
                </c:pt>
                <c:pt idx="1">
                  <c:v>77.8</c:v>
                </c:pt>
                <c:pt idx="2">
                  <c:v>69.599999999999994</c:v>
                </c:pt>
                <c:pt idx="3">
                  <c:v>96.1</c:v>
                </c:pt>
                <c:pt idx="4">
                  <c:v>141.1</c:v>
                </c:pt>
                <c:pt idx="5">
                  <c:v>176.4</c:v>
                </c:pt>
                <c:pt idx="6">
                  <c:v>191.8</c:v>
                </c:pt>
                <c:pt idx="7">
                  <c:v>130.6</c:v>
                </c:pt>
                <c:pt idx="8">
                  <c:v>122.1</c:v>
                </c:pt>
                <c:pt idx="9">
                  <c:v>98.3</c:v>
                </c:pt>
                <c:pt idx="10">
                  <c:v>100.9</c:v>
                </c:pt>
                <c:pt idx="11">
                  <c:v>54.9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96-4D52-96C3-EA886332775B}"/>
            </c:ext>
          </c:extLst>
        </c:ser>
        <c:ser>
          <c:idx val="5"/>
          <c:order val="5"/>
          <c:tx>
            <c:v>2019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'Dist 17 Trends'!$E$3:$E$14</c:f>
              <c:numCache>
                <c:formatCode>0.0</c:formatCode>
                <c:ptCount val="12"/>
                <c:pt idx="0">
                  <c:v>48</c:v>
                </c:pt>
                <c:pt idx="1">
                  <c:v>30.5</c:v>
                </c:pt>
                <c:pt idx="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9-4A06-BAD9-B8251A21B2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100"/>
        <c:axId val="303717864"/>
        <c:axId val="30372060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2013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pPr xmlns:c15="http://schemas.microsoft.com/office/drawing/2012/chart">
                        <a:prstGeom prst="rect">
                          <a:avLst/>
                        </a:prstGeom>
                      </c15:spPr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'Dist 17 Trends'!$A$3:$A$14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'Dist 17 Trends'!#REF!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596-4D52-96C3-EA886332775B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 17 Trends'!#REF!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800"/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 17 Trends'!$A$3:$A$14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 17 Trends'!#REF!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596-4D52-96C3-EA886332775B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v>2016</c:v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'Dist 17 Trends'!$B$3:$B$14</c15:sqref>
                        </c15:formulaRef>
                      </c:ext>
                    </c:extLst>
                    <c:numCache>
                      <c:formatCode>0.0</c:formatCode>
                      <c:ptCount val="12"/>
                      <c:pt idx="0">
                        <c:v>46.4</c:v>
                      </c:pt>
                      <c:pt idx="1">
                        <c:v>59.9</c:v>
                      </c:pt>
                      <c:pt idx="2">
                        <c:v>60.2</c:v>
                      </c:pt>
                      <c:pt idx="3">
                        <c:v>74</c:v>
                      </c:pt>
                      <c:pt idx="4">
                        <c:v>90.5</c:v>
                      </c:pt>
                      <c:pt idx="5">
                        <c:v>99.8</c:v>
                      </c:pt>
                      <c:pt idx="6">
                        <c:v>125.5</c:v>
                      </c:pt>
                      <c:pt idx="7">
                        <c:v>122.1</c:v>
                      </c:pt>
                      <c:pt idx="8">
                        <c:v>114</c:v>
                      </c:pt>
                      <c:pt idx="9">
                        <c:v>99.2</c:v>
                      </c:pt>
                      <c:pt idx="10">
                        <c:v>82.3</c:v>
                      </c:pt>
                      <c:pt idx="11">
                        <c:v>59.5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2596-4D52-96C3-EA886332775B}"/>
                  </c:ext>
                </c:extLst>
              </c15:ser>
            </c15:filteredBarSeries>
          </c:ext>
        </c:extLst>
      </c:barChart>
      <c:catAx>
        <c:axId val="303717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720608"/>
        <c:crosses val="autoZero"/>
        <c:auto val="1"/>
        <c:lblAlgn val="ctr"/>
        <c:lblOffset val="100"/>
        <c:noMultiLvlLbl val="0"/>
      </c:catAx>
      <c:valAx>
        <c:axId val="303720608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717864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607268133539396"/>
          <c:y val="0.12880703003747587"/>
          <c:w val="6.7764858831898353E-2"/>
          <c:h val="0.23233476835225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LSCSD Production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8788621339345032E-2"/>
          <c:y val="0.13891389864457773"/>
          <c:w val="0.91343357070010345"/>
          <c:h val="0.77420117791771448"/>
        </c:manualLayout>
      </c:layout>
      <c:barChart>
        <c:barDir val="col"/>
        <c:grouping val="clustered"/>
        <c:varyColors val="0"/>
        <c:ser>
          <c:idx val="4"/>
          <c:order val="4"/>
          <c:tx>
            <c:v>2017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'LSCSD Trends'!$C$3:$C$14</c:f>
              <c:numCache>
                <c:formatCode>General</c:formatCode>
                <c:ptCount val="12"/>
                <c:pt idx="0">
                  <c:v>21.1</c:v>
                </c:pt>
                <c:pt idx="1">
                  <c:v>24.4</c:v>
                </c:pt>
                <c:pt idx="2">
                  <c:v>82.7</c:v>
                </c:pt>
                <c:pt idx="3">
                  <c:v>110.3</c:v>
                </c:pt>
                <c:pt idx="4">
                  <c:v>135.19999999999999</c:v>
                </c:pt>
                <c:pt idx="5">
                  <c:v>140.30000000000001</c:v>
                </c:pt>
                <c:pt idx="6">
                  <c:v>168.3</c:v>
                </c:pt>
                <c:pt idx="7">
                  <c:v>171.4</c:v>
                </c:pt>
                <c:pt idx="8">
                  <c:v>168.5</c:v>
                </c:pt>
                <c:pt idx="9">
                  <c:v>168.2</c:v>
                </c:pt>
                <c:pt idx="10">
                  <c:v>120.6</c:v>
                </c:pt>
                <c:pt idx="11">
                  <c:v>127.9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CB-44CC-8F44-1309E502CF7C}"/>
            </c:ext>
          </c:extLst>
        </c:ser>
        <c:ser>
          <c:idx val="5"/>
          <c:order val="5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'LSCSD Trends'!$D$3:$D$14</c:f>
              <c:numCache>
                <c:formatCode>General</c:formatCode>
                <c:ptCount val="12"/>
                <c:pt idx="0">
                  <c:v>85.5</c:v>
                </c:pt>
                <c:pt idx="1">
                  <c:v>95.7</c:v>
                </c:pt>
                <c:pt idx="2">
                  <c:v>42.6</c:v>
                </c:pt>
                <c:pt idx="3">
                  <c:v>125.7</c:v>
                </c:pt>
                <c:pt idx="4">
                  <c:v>147.4</c:v>
                </c:pt>
                <c:pt idx="5">
                  <c:v>181.1</c:v>
                </c:pt>
                <c:pt idx="6">
                  <c:v>224.6</c:v>
                </c:pt>
                <c:pt idx="7">
                  <c:v>226.9</c:v>
                </c:pt>
                <c:pt idx="8">
                  <c:v>178.8</c:v>
                </c:pt>
                <c:pt idx="9">
                  <c:v>131.6</c:v>
                </c:pt>
                <c:pt idx="10">
                  <c:v>115.1</c:v>
                </c:pt>
                <c:pt idx="11">
                  <c:v>48.9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CB-44CC-8F44-1309E502CF7C}"/>
            </c:ext>
          </c:extLst>
        </c:ser>
        <c:ser>
          <c:idx val="6"/>
          <c:order val="6"/>
          <c:tx>
            <c:v>2019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'LSCSD Trends'!$E$3:$E$14</c:f>
              <c:numCache>
                <c:formatCode>General</c:formatCode>
                <c:ptCount val="12"/>
                <c:pt idx="0">
                  <c:v>48.2</c:v>
                </c:pt>
                <c:pt idx="1">
                  <c:v>24.6</c:v>
                </c:pt>
                <c:pt idx="2">
                  <c:v>60.7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D-4125-81D6-BD0D735547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100"/>
        <c:axId val="303723352"/>
        <c:axId val="3037182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2013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pPr xmlns:c15="http://schemas.microsoft.com/office/drawing/2012/chart">
                        <a:prstGeom prst="rect">
                          <a:avLst/>
                        </a:prstGeom>
                      </c15:spPr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'LSCSD Trends'!$A$3:$A$14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'LSCSD Trends'!#REF!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ACB-44CC-8F44-1309E502CF7C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v>2014</c:v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pPr xmlns:c15="http://schemas.microsoft.com/office/drawing/2012/chart">
                        <a:prstGeom prst="rect">
                          <a:avLst/>
                        </a:prstGeom>
                      </c15:spPr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'LSCSD Trends'!$A$3:$A$14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'LSCSD Trends'!#REF!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ACB-44CC-8F44-1309E502CF7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v>2015</c:v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'LSCSD Trends'!$A$3:$A$14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'LSCSD Trends'!#REF!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ACB-44CC-8F44-1309E502CF7C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v>2016</c:v>
                </c:tx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'LSCSD Trends'!$A$3:$A$14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'LSCSD Trends'!$B$3:$B$14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42.1</c:v>
                      </c:pt>
                      <c:pt idx="1">
                        <c:v>61</c:v>
                      </c:pt>
                      <c:pt idx="2">
                        <c:v>55.3</c:v>
                      </c:pt>
                      <c:pt idx="3">
                        <c:v>85.3</c:v>
                      </c:pt>
                      <c:pt idx="4">
                        <c:v>99.7</c:v>
                      </c:pt>
                      <c:pt idx="5">
                        <c:v>123.4</c:v>
                      </c:pt>
                      <c:pt idx="6">
                        <c:v>142.30000000000001</c:v>
                      </c:pt>
                      <c:pt idx="7">
                        <c:v>148.19999999999999</c:v>
                      </c:pt>
                      <c:pt idx="8">
                        <c:v>132.30000000000001</c:v>
                      </c:pt>
                      <c:pt idx="9">
                        <c:v>117</c:v>
                      </c:pt>
                      <c:pt idx="10">
                        <c:v>82.3</c:v>
                      </c:pt>
                      <c:pt idx="11">
                        <c:v>55.8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EACB-44CC-8F44-1309E502CF7C}"/>
                  </c:ext>
                </c:extLst>
              </c15:ser>
            </c15:filteredBarSeries>
          </c:ext>
        </c:extLst>
      </c:barChart>
      <c:catAx>
        <c:axId val="30372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718256"/>
        <c:crosses val="autoZero"/>
        <c:auto val="1"/>
        <c:lblAlgn val="ctr"/>
        <c:lblOffset val="100"/>
        <c:noMultiLvlLbl val="0"/>
      </c:catAx>
      <c:valAx>
        <c:axId val="303718256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723352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9440916024698991"/>
          <c:y val="0.12610431628898414"/>
          <c:w val="6.7685794943086575E-2"/>
          <c:h val="0.232334906551214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198120</xdr:colOff>
      <xdr:row>4</xdr:row>
      <xdr:rowOff>38100</xdr:rowOff>
    </xdr:from>
    <xdr:to>
      <xdr:col>9</xdr:col>
      <xdr:colOff>685800</xdr:colOff>
      <xdr:row>8</xdr:row>
      <xdr:rowOff>190500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00000000-0008-0000-0300-000004040000}"/>
            </a:ext>
          </a:extLst>
        </xdr:cNvPr>
        <xdr:cNvSpPr>
          <a:spLocks noChangeArrowheads="1"/>
        </xdr:cNvSpPr>
      </xdr:nvSpPr>
      <xdr:spPr bwMode="auto">
        <a:xfrm>
          <a:off x="6012180" y="70866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243840</xdr:colOff>
      <xdr:row>4</xdr:row>
      <xdr:rowOff>30480</xdr:rowOff>
    </xdr:from>
    <xdr:to>
      <xdr:col>20</xdr:col>
      <xdr:colOff>731520</xdr:colOff>
      <xdr:row>8</xdr:row>
      <xdr:rowOff>198120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00000000-0008-0000-0300-000005040000}"/>
            </a:ext>
          </a:extLst>
        </xdr:cNvPr>
        <xdr:cNvSpPr>
          <a:spLocks noChangeArrowheads="1"/>
        </xdr:cNvSpPr>
      </xdr:nvSpPr>
      <xdr:spPr bwMode="auto">
        <a:xfrm>
          <a:off x="11910060" y="708660"/>
          <a:ext cx="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38102</xdr:colOff>
      <xdr:row>0</xdr:row>
      <xdr:rowOff>9526</xdr:rowOff>
    </xdr:from>
    <xdr:to>
      <xdr:col>22</xdr:col>
      <xdr:colOff>657226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38100</xdr:colOff>
      <xdr:row>18</xdr:row>
      <xdr:rowOff>0</xdr:rowOff>
    </xdr:from>
    <xdr:to>
      <xdr:col>22</xdr:col>
      <xdr:colOff>647700</xdr:colOff>
      <xdr:row>34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38100</xdr:colOff>
      <xdr:row>36</xdr:row>
      <xdr:rowOff>0</xdr:rowOff>
    </xdr:from>
    <xdr:to>
      <xdr:col>22</xdr:col>
      <xdr:colOff>638175</xdr:colOff>
      <xdr:row>52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38102</xdr:colOff>
      <xdr:row>0</xdr:row>
      <xdr:rowOff>9526</xdr:rowOff>
    </xdr:from>
    <xdr:to>
      <xdr:col>22</xdr:col>
      <xdr:colOff>657226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38100</xdr:colOff>
      <xdr:row>18</xdr:row>
      <xdr:rowOff>0</xdr:rowOff>
    </xdr:from>
    <xdr:to>
      <xdr:col>22</xdr:col>
      <xdr:colOff>647700</xdr:colOff>
      <xdr:row>34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38100</xdr:colOff>
      <xdr:row>36</xdr:row>
      <xdr:rowOff>0</xdr:rowOff>
    </xdr:from>
    <xdr:to>
      <xdr:col>22</xdr:col>
      <xdr:colOff>638175</xdr:colOff>
      <xdr:row>52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0</xdr:row>
      <xdr:rowOff>0</xdr:rowOff>
    </xdr:from>
    <xdr:to>
      <xdr:col>22</xdr:col>
      <xdr:colOff>647700</xdr:colOff>
      <xdr:row>16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38102</xdr:colOff>
      <xdr:row>0</xdr:row>
      <xdr:rowOff>9527</xdr:rowOff>
    </xdr:from>
    <xdr:to>
      <xdr:col>22</xdr:col>
      <xdr:colOff>657226</xdr:colOff>
      <xdr:row>16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"/>
  <sheetViews>
    <sheetView zoomScale="75" zoomScaleNormal="75" workbookViewId="0">
      <selection activeCell="B14" sqref="B14"/>
    </sheetView>
  </sheetViews>
  <sheetFormatPr defaultColWidth="9" defaultRowHeight="15" x14ac:dyDescent="0.2"/>
  <cols>
    <col min="1" max="1" width="18.75" style="2" customWidth="1"/>
    <col min="2" max="2" width="13.125" style="2" customWidth="1"/>
    <col min="3" max="3" width="17.5" style="2" customWidth="1"/>
    <col min="4" max="4" width="30.5" style="2" customWidth="1"/>
    <col min="5" max="6" width="9" style="2"/>
    <col min="7" max="7" width="24.625" style="2" customWidth="1"/>
    <col min="8" max="16384" width="9" style="2"/>
  </cols>
  <sheetData>
    <row r="1" spans="1:23" ht="15.75" x14ac:dyDescent="0.25">
      <c r="A1" s="21" t="s">
        <v>1187</v>
      </c>
      <c r="B1" s="12"/>
      <c r="C1" s="1519"/>
      <c r="D1" s="21"/>
      <c r="E1"/>
      <c r="F1"/>
      <c r="G1"/>
      <c r="H1"/>
      <c r="I1"/>
      <c r="J1"/>
      <c r="K1"/>
      <c r="L1"/>
      <c r="R1"/>
      <c r="S1"/>
      <c r="T1"/>
      <c r="U1"/>
      <c r="V1"/>
      <c r="W1"/>
    </row>
    <row r="2" spans="1:23" ht="15.75" x14ac:dyDescent="0.25">
      <c r="B2" s="1"/>
      <c r="D2" s="1"/>
      <c r="E2"/>
      <c r="F2"/>
      <c r="G2"/>
      <c r="H2"/>
      <c r="I2"/>
      <c r="J2"/>
      <c r="K2"/>
      <c r="L2"/>
      <c r="R2"/>
      <c r="S2"/>
      <c r="T2"/>
      <c r="U2"/>
      <c r="V2"/>
      <c r="W2"/>
    </row>
    <row r="3" spans="1:23" ht="18" x14ac:dyDescent="0.25">
      <c r="A3" s="1520"/>
      <c r="B3" s="21"/>
      <c r="C3" s="1521">
        <v>43709</v>
      </c>
      <c r="E3"/>
      <c r="F3"/>
      <c r="G3"/>
      <c r="H3"/>
      <c r="I3"/>
      <c r="J3"/>
      <c r="K3"/>
      <c r="L3"/>
      <c r="R3"/>
      <c r="S3"/>
      <c r="T3"/>
      <c r="U3"/>
      <c r="V3"/>
      <c r="W3"/>
    </row>
    <row r="4" spans="1:23" ht="15.75" x14ac:dyDescent="0.25">
      <c r="D4" s="25"/>
      <c r="E4"/>
      <c r="F4"/>
      <c r="G4"/>
      <c r="H4"/>
      <c r="I4"/>
      <c r="J4"/>
      <c r="K4"/>
      <c r="L4"/>
      <c r="R4"/>
      <c r="S4"/>
      <c r="T4"/>
      <c r="U4"/>
      <c r="V4"/>
      <c r="W4"/>
    </row>
    <row r="5" spans="1:23" ht="18" x14ac:dyDescent="0.25">
      <c r="A5" s="1520"/>
      <c r="B5" s="21"/>
      <c r="C5" s="1521"/>
      <c r="E5"/>
      <c r="F5"/>
      <c r="G5"/>
      <c r="H5"/>
      <c r="I5"/>
      <c r="J5"/>
      <c r="K5"/>
      <c r="L5"/>
      <c r="R5"/>
      <c r="S5"/>
      <c r="T5"/>
      <c r="U5"/>
      <c r="V5"/>
      <c r="W5"/>
    </row>
    <row r="6" spans="1:23" ht="15.75" x14ac:dyDescent="0.25">
      <c r="D6" s="25"/>
      <c r="E6"/>
      <c r="F6"/>
      <c r="G6"/>
      <c r="H6"/>
      <c r="I6"/>
      <c r="J6"/>
      <c r="K6"/>
      <c r="L6"/>
      <c r="R6"/>
      <c r="S6"/>
      <c r="T6"/>
      <c r="U6"/>
      <c r="V6"/>
      <c r="W6"/>
    </row>
    <row r="7" spans="1:23" ht="15.75" x14ac:dyDescent="0.25">
      <c r="A7" s="1522" t="s">
        <v>7</v>
      </c>
      <c r="C7" s="1546"/>
      <c r="D7" s="1546"/>
      <c r="E7" s="1546"/>
      <c r="F7" s="1546"/>
      <c r="G7" s="1546"/>
      <c r="H7" s="1546"/>
      <c r="I7" s="1546"/>
      <c r="J7" s="1546"/>
      <c r="K7" s="1546"/>
      <c r="L7" s="1512"/>
      <c r="R7"/>
      <c r="S7"/>
      <c r="T7"/>
      <c r="U7"/>
      <c r="V7"/>
      <c r="W7"/>
    </row>
    <row r="8" spans="1:23" ht="15.75" x14ac:dyDescent="0.25">
      <c r="E8"/>
      <c r="F8"/>
      <c r="G8"/>
      <c r="H8"/>
      <c r="I8"/>
      <c r="J8"/>
      <c r="K8"/>
      <c r="L8"/>
      <c r="R8"/>
      <c r="S8"/>
      <c r="T8"/>
      <c r="U8"/>
      <c r="V8"/>
      <c r="W8"/>
    </row>
    <row r="9" spans="1:23" ht="15.75" x14ac:dyDescent="0.25">
      <c r="A9" s="1523" t="s">
        <v>121</v>
      </c>
      <c r="B9" s="1524" t="s">
        <v>122</v>
      </c>
      <c r="C9" s="1524" t="s">
        <v>123</v>
      </c>
      <c r="D9" s="1544" t="s">
        <v>124</v>
      </c>
      <c r="E9" s="1545"/>
      <c r="F9"/>
      <c r="G9"/>
      <c r="H9"/>
      <c r="I9"/>
      <c r="J9"/>
      <c r="K9"/>
      <c r="L9"/>
      <c r="R9"/>
      <c r="S9"/>
      <c r="T9"/>
      <c r="U9"/>
      <c r="V9"/>
      <c r="W9"/>
    </row>
    <row r="10" spans="1:23" ht="15.75" x14ac:dyDescent="0.25">
      <c r="A10" s="1538"/>
      <c r="E10" s="1525" t="s">
        <v>6</v>
      </c>
      <c r="F10"/>
      <c r="G10"/>
      <c r="H10"/>
      <c r="I10"/>
      <c r="J10"/>
      <c r="K10"/>
      <c r="L10"/>
      <c r="R10"/>
      <c r="S10"/>
      <c r="T10"/>
      <c r="U10"/>
      <c r="V10"/>
      <c r="W10"/>
    </row>
    <row r="11" spans="1:23" ht="15.75" x14ac:dyDescent="0.25">
      <c r="A11" s="1" t="s">
        <v>1165</v>
      </c>
      <c r="B11" s="702">
        <v>229898</v>
      </c>
      <c r="C11" s="702">
        <v>194024</v>
      </c>
      <c r="D11" s="399"/>
      <c r="E11" s="1526">
        <v>82.34</v>
      </c>
      <c r="F11"/>
      <c r="G11"/>
      <c r="H11"/>
      <c r="I11"/>
      <c r="J11"/>
      <c r="K11"/>
      <c r="L11"/>
      <c r="R11"/>
      <c r="S11"/>
      <c r="T11"/>
      <c r="U11"/>
      <c r="V11"/>
      <c r="W11"/>
    </row>
    <row r="12" spans="1:23" ht="15.75" x14ac:dyDescent="0.25">
      <c r="A12" s="1" t="s">
        <v>1212</v>
      </c>
      <c r="B12" s="1527">
        <v>1186422</v>
      </c>
      <c r="C12" s="1527">
        <v>1008727</v>
      </c>
      <c r="D12" s="399"/>
      <c r="E12" s="1526">
        <v>54.53</v>
      </c>
      <c r="F12"/>
      <c r="G12"/>
      <c r="H12"/>
      <c r="I12"/>
      <c r="J12"/>
      <c r="K12"/>
      <c r="L12"/>
      <c r="R12"/>
      <c r="S12"/>
      <c r="T12"/>
      <c r="U12"/>
      <c r="V12"/>
      <c r="W12"/>
    </row>
    <row r="13" spans="1:23" ht="15.75" x14ac:dyDescent="0.25">
      <c r="A13" s="1" t="s">
        <v>1166</v>
      </c>
      <c r="B13" s="702">
        <v>1365316</v>
      </c>
      <c r="C13" s="702">
        <v>1355902</v>
      </c>
      <c r="D13" s="399"/>
      <c r="E13" s="1526">
        <v>21.61</v>
      </c>
      <c r="F13"/>
      <c r="G13"/>
      <c r="H13"/>
      <c r="I13"/>
      <c r="J13"/>
      <c r="K13"/>
      <c r="L13"/>
      <c r="R13"/>
      <c r="S13"/>
      <c r="T13"/>
      <c r="U13"/>
      <c r="V13"/>
      <c r="W13"/>
    </row>
    <row r="14" spans="1:23" ht="16.5" thickBot="1" x14ac:dyDescent="0.3">
      <c r="A14" s="1" t="s">
        <v>1248</v>
      </c>
      <c r="B14" s="702">
        <v>1437224</v>
      </c>
      <c r="C14" s="702">
        <v>1198820</v>
      </c>
      <c r="D14" s="752"/>
      <c r="E14" s="1526">
        <v>73.16</v>
      </c>
      <c r="F14"/>
      <c r="G14"/>
      <c r="H14"/>
      <c r="I14"/>
      <c r="J14"/>
      <c r="K14"/>
      <c r="L14"/>
      <c r="R14"/>
      <c r="S14"/>
      <c r="T14"/>
      <c r="U14"/>
      <c r="V14"/>
      <c r="W14"/>
    </row>
    <row r="15" spans="1:23" ht="16.5" thickBot="1" x14ac:dyDescent="0.3">
      <c r="B15" s="1528"/>
      <c r="C15" s="1528"/>
      <c r="D15" s="1528"/>
      <c r="E15" s="1455">
        <f>SUM(E11:E14)</f>
        <v>231.64000000000001</v>
      </c>
      <c r="F15"/>
      <c r="G15"/>
      <c r="H15"/>
      <c r="I15"/>
      <c r="J15"/>
      <c r="K15"/>
      <c r="L15"/>
      <c r="R15"/>
      <c r="S15"/>
      <c r="T15"/>
      <c r="U15"/>
      <c r="V15"/>
      <c r="W15"/>
    </row>
    <row r="16" spans="1:23" ht="15.75" x14ac:dyDescent="0.25">
      <c r="E16" s="1529"/>
      <c r="F16"/>
      <c r="G16"/>
      <c r="H16"/>
      <c r="I16"/>
      <c r="J16"/>
      <c r="K16"/>
      <c r="L16"/>
      <c r="R16"/>
      <c r="S16"/>
      <c r="T16"/>
      <c r="U16"/>
      <c r="V16"/>
      <c r="W16"/>
    </row>
    <row r="17" spans="1:23" ht="15.75" x14ac:dyDescent="0.25">
      <c r="A17" s="1522" t="s">
        <v>19</v>
      </c>
      <c r="B17" s="1"/>
      <c r="C17" s="1"/>
      <c r="D17" s="1"/>
      <c r="E17"/>
      <c r="F17"/>
      <c r="G17"/>
      <c r="H17"/>
      <c r="I17"/>
      <c r="J17"/>
      <c r="K17"/>
      <c r="L17"/>
      <c r="R17"/>
      <c r="S17"/>
      <c r="T17"/>
      <c r="U17"/>
      <c r="V17"/>
      <c r="W17"/>
    </row>
    <row r="18" spans="1:23" ht="15.75" x14ac:dyDescent="0.25">
      <c r="A18" s="1"/>
      <c r="B18" s="1539"/>
      <c r="C18" s="1539"/>
      <c r="D18" s="1"/>
      <c r="E18"/>
      <c r="F18"/>
      <c r="G18"/>
      <c r="H18"/>
      <c r="I18"/>
      <c r="J18"/>
      <c r="K18"/>
      <c r="L18"/>
      <c r="R18"/>
      <c r="S18"/>
      <c r="T18"/>
      <c r="U18"/>
      <c r="V18"/>
      <c r="W18"/>
    </row>
    <row r="19" spans="1:23" ht="15.75" x14ac:dyDescent="0.25">
      <c r="A19" s="1523" t="s">
        <v>121</v>
      </c>
      <c r="B19" s="1524" t="s">
        <v>122</v>
      </c>
      <c r="C19" s="1524" t="s">
        <v>123</v>
      </c>
      <c r="D19" s="1544" t="s">
        <v>124</v>
      </c>
      <c r="E19" s="1545"/>
      <c r="F19"/>
      <c r="G19"/>
      <c r="H19"/>
      <c r="I19"/>
      <c r="J19"/>
      <c r="K19"/>
      <c r="L19"/>
      <c r="R19"/>
      <c r="S19"/>
      <c r="T19"/>
      <c r="U19"/>
      <c r="V19"/>
      <c r="W19"/>
    </row>
    <row r="20" spans="1:23" ht="15.75" x14ac:dyDescent="0.25">
      <c r="E20" s="1525" t="s">
        <v>6</v>
      </c>
      <c r="F20"/>
      <c r="G20"/>
      <c r="H20"/>
      <c r="I20"/>
      <c r="J20"/>
      <c r="K20"/>
      <c r="L20"/>
      <c r="R20"/>
      <c r="S20"/>
      <c r="T20"/>
      <c r="U20"/>
      <c r="V20"/>
      <c r="W20"/>
    </row>
    <row r="21" spans="1:23" ht="15.75" x14ac:dyDescent="0.25">
      <c r="A21" s="1" t="s">
        <v>1251</v>
      </c>
      <c r="B21" s="702">
        <v>10143012</v>
      </c>
      <c r="C21" s="702">
        <v>9704916</v>
      </c>
      <c r="D21" s="752"/>
      <c r="E21" s="1526">
        <v>134.44</v>
      </c>
      <c r="F21"/>
      <c r="G21"/>
      <c r="H21"/>
      <c r="I21"/>
      <c r="J21"/>
      <c r="K21"/>
      <c r="L21"/>
      <c r="R21"/>
      <c r="S21"/>
      <c r="T21"/>
      <c r="U21"/>
      <c r="V21"/>
      <c r="W21"/>
    </row>
    <row r="22" spans="1:23" ht="15.75" x14ac:dyDescent="0.25">
      <c r="A22" s="1" t="s">
        <v>1167</v>
      </c>
      <c r="B22" s="702">
        <v>1196291</v>
      </c>
      <c r="C22" s="702">
        <v>1166136</v>
      </c>
      <c r="D22" s="752"/>
      <c r="E22" s="1526">
        <v>69.22</v>
      </c>
      <c r="F22"/>
      <c r="G22"/>
      <c r="H22"/>
      <c r="I22"/>
      <c r="J22"/>
      <c r="K22"/>
      <c r="L22"/>
      <c r="R22"/>
      <c r="S22"/>
      <c r="T22"/>
      <c r="U22"/>
      <c r="V22"/>
      <c r="W22"/>
    </row>
    <row r="23" spans="1:23" ht="16.5" thickBot="1" x14ac:dyDescent="0.3">
      <c r="A23" s="1" t="s">
        <v>1168</v>
      </c>
      <c r="B23" s="702">
        <v>18605112</v>
      </c>
      <c r="C23" s="702">
        <v>18503591</v>
      </c>
      <c r="D23" s="398"/>
      <c r="E23" s="1526">
        <v>31.15</v>
      </c>
      <c r="F23"/>
      <c r="G23"/>
      <c r="H23"/>
      <c r="I23"/>
      <c r="J23"/>
      <c r="K23"/>
      <c r="L23"/>
      <c r="R23"/>
      <c r="S23"/>
      <c r="T23"/>
      <c r="U23"/>
      <c r="V23"/>
      <c r="W23"/>
    </row>
    <row r="24" spans="1:23" ht="16.5" thickBot="1" x14ac:dyDescent="0.3">
      <c r="A24"/>
      <c r="B24"/>
      <c r="C24"/>
      <c r="D24"/>
      <c r="E24" s="1455">
        <f>SUM(E21:E23)</f>
        <v>234.81</v>
      </c>
      <c r="F24"/>
      <c r="G24"/>
      <c r="H24"/>
      <c r="I24"/>
      <c r="J24"/>
      <c r="K24"/>
      <c r="L24"/>
      <c r="R24"/>
      <c r="S24"/>
      <c r="T24"/>
      <c r="U24"/>
      <c r="V24"/>
      <c r="W24"/>
    </row>
    <row r="25" spans="1:23" ht="33.75" customHeight="1" thickBot="1" x14ac:dyDescent="0.3">
      <c r="A25"/>
      <c r="B25"/>
      <c r="C25"/>
      <c r="D25"/>
      <c r="E25" s="1455"/>
      <c r="F25"/>
      <c r="G25"/>
      <c r="H25"/>
      <c r="I25"/>
      <c r="J25"/>
      <c r="K25"/>
    </row>
  </sheetData>
  <mergeCells count="3">
    <mergeCell ref="D9:E9"/>
    <mergeCell ref="D19:E19"/>
    <mergeCell ref="C7:K7"/>
  </mergeCells>
  <phoneticPr fontId="0" type="noConversion"/>
  <printOptions gridLines="1" gridLinesSet="0"/>
  <pageMargins left="1" right="0.5" top="1" bottom="1" header="0.5" footer="0.5"/>
  <pageSetup orientation="landscape" horizontalDpi="300" verticalDpi="300" r:id="rId1"/>
  <headerFooter alignWithMargins="0">
    <oddFooter>&amp;L&amp;"Arial,Regular"&amp;6PRODUCTION/Wprod1013 (wellrd).xls&amp;R&amp;"Arial,Regular"&amp;10&amp;D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AH174"/>
  <sheetViews>
    <sheetView topLeftCell="A28" zoomScaleNormal="100" workbookViewId="0">
      <selection activeCell="E39" sqref="E39:E41"/>
    </sheetView>
  </sheetViews>
  <sheetFormatPr defaultRowHeight="15.75" x14ac:dyDescent="0.25"/>
  <cols>
    <col min="1" max="1" width="4.625" style="1291" bestFit="1" customWidth="1"/>
    <col min="2" max="5" width="6.125" style="1291" customWidth="1"/>
    <col min="6" max="6" width="6.875" style="1291" bestFit="1" customWidth="1"/>
    <col min="7" max="10" width="7.75" style="1291" customWidth="1"/>
    <col min="11" max="11" width="6.875" style="1291" bestFit="1" customWidth="1"/>
  </cols>
  <sheetData>
    <row r="1" spans="1:22" x14ac:dyDescent="0.25">
      <c r="A1" s="1707" t="s">
        <v>1117</v>
      </c>
      <c r="B1" s="1707"/>
      <c r="C1" s="1707"/>
      <c r="D1" s="1707"/>
      <c r="E1" s="1707"/>
      <c r="F1" s="1707"/>
      <c r="G1" s="1707"/>
      <c r="H1" s="1707"/>
      <c r="I1" s="1707"/>
      <c r="J1" s="1707"/>
      <c r="K1" s="1707"/>
      <c r="L1" s="1286"/>
      <c r="M1" s="1286"/>
      <c r="N1" s="1286"/>
      <c r="O1" s="1286"/>
      <c r="P1" s="1286"/>
      <c r="Q1" s="1286"/>
      <c r="R1" s="1286"/>
      <c r="S1" s="1286"/>
      <c r="T1" s="1286"/>
      <c r="U1" s="1286"/>
      <c r="V1" s="1286"/>
    </row>
    <row r="2" spans="1:22" x14ac:dyDescent="0.25">
      <c r="A2" s="1287"/>
      <c r="B2" s="1292">
        <v>2016</v>
      </c>
      <c r="C2" s="1292">
        <v>2017</v>
      </c>
      <c r="D2" s="1292">
        <v>2018</v>
      </c>
      <c r="E2" s="1292">
        <v>2019</v>
      </c>
      <c r="F2" s="1292" t="s">
        <v>1122</v>
      </c>
      <c r="G2" s="1292" t="s">
        <v>1174</v>
      </c>
      <c r="H2" s="1292" t="s">
        <v>1221</v>
      </c>
      <c r="I2" s="1292" t="s">
        <v>1231</v>
      </c>
      <c r="J2" s="1292" t="s">
        <v>1269</v>
      </c>
      <c r="K2" s="1292" t="s">
        <v>1121</v>
      </c>
      <c r="L2" s="1286"/>
      <c r="M2" s="1286"/>
      <c r="N2" s="1286"/>
      <c r="O2" s="1286"/>
      <c r="P2" s="1286"/>
      <c r="Q2" s="1286"/>
      <c r="R2" s="1286"/>
      <c r="S2" s="1286"/>
      <c r="T2" s="1286"/>
      <c r="U2" s="1286"/>
      <c r="V2" s="1286"/>
    </row>
    <row r="3" spans="1:22" x14ac:dyDescent="0.25">
      <c r="A3" s="1298" t="s">
        <v>108</v>
      </c>
      <c r="B3" s="1290">
        <f>'totrpt 1,19'!J177</f>
        <v>61.9</v>
      </c>
      <c r="C3" s="1290">
        <f>'totrpt 1,19'!K177</f>
        <v>16.7</v>
      </c>
      <c r="D3" s="1290">
        <f>'totrpt 1,19'!L177</f>
        <v>124.5</v>
      </c>
      <c r="E3" s="1290">
        <f>'totrpt 1,19'!M177</f>
        <v>57.8</v>
      </c>
      <c r="F3" s="1294">
        <f>(C3-B3)/ABS(B3)</f>
        <v>-0.73021001615508896</v>
      </c>
      <c r="G3" s="1296">
        <f>B3</f>
        <v>61.9</v>
      </c>
      <c r="H3" s="1296">
        <f>C3</f>
        <v>16.7</v>
      </c>
      <c r="I3" s="1296">
        <f>D3</f>
        <v>124.5</v>
      </c>
      <c r="J3" s="1296"/>
      <c r="K3" s="1294">
        <f t="shared" ref="K3:K14" si="0">(H3-G3)/ABS(G3)</f>
        <v>-0.73021001615508896</v>
      </c>
      <c r="L3" s="1286"/>
      <c r="M3" s="1286"/>
      <c r="N3" s="1286"/>
      <c r="O3" s="1286"/>
      <c r="P3" s="1286"/>
      <c r="Q3" s="1286"/>
      <c r="R3" s="1286"/>
      <c r="S3" s="1286"/>
      <c r="T3" s="1286"/>
      <c r="U3" s="1286"/>
      <c r="V3" s="1286"/>
    </row>
    <row r="4" spans="1:22" x14ac:dyDescent="0.25">
      <c r="A4" s="1298" t="s">
        <v>109</v>
      </c>
      <c r="B4" s="1290">
        <f>'totrpt 1,19'!J178</f>
        <v>123.3</v>
      </c>
      <c r="C4" s="1290">
        <f>'totrpt 1,19'!K178</f>
        <v>39.4</v>
      </c>
      <c r="D4" s="1290">
        <f>'totrpt 1,19'!L178</f>
        <v>147.80000000000001</v>
      </c>
      <c r="E4" s="1290">
        <f>'totrpt 1,19'!M178</f>
        <v>35.9</v>
      </c>
      <c r="F4" s="1294">
        <f t="shared" ref="F4:F14" si="1">(C4-B4)/ABS(B4)</f>
        <v>-0.68045417680454179</v>
      </c>
      <c r="G4" s="1296">
        <f t="shared" ref="G4:G14" si="2">G3+B4</f>
        <v>185.2</v>
      </c>
      <c r="H4" s="1296">
        <f t="shared" ref="H4:H14" si="3">H3+C4</f>
        <v>56.099999999999994</v>
      </c>
      <c r="I4" s="1296">
        <f t="shared" ref="I4:I14" si="4">I3+D4</f>
        <v>272.3</v>
      </c>
      <c r="J4" s="1296"/>
      <c r="K4" s="1294">
        <f t="shared" si="0"/>
        <v>-0.69708423326133906</v>
      </c>
      <c r="L4" s="1286"/>
      <c r="M4" s="1286"/>
      <c r="N4" s="1286"/>
      <c r="O4" s="1286"/>
      <c r="P4" s="1286"/>
      <c r="Q4" s="1286"/>
      <c r="R4" s="1286"/>
      <c r="S4" s="1286"/>
      <c r="T4" s="1286"/>
      <c r="U4" s="1286"/>
      <c r="V4" s="1286"/>
    </row>
    <row r="5" spans="1:22" x14ac:dyDescent="0.25">
      <c r="A5" s="1298" t="s">
        <v>110</v>
      </c>
      <c r="B5" s="1290">
        <f>'totrpt 1,19'!J179</f>
        <v>130.5</v>
      </c>
      <c r="C5" s="1290">
        <f>'totrpt 1,19'!K179</f>
        <v>125.67</v>
      </c>
      <c r="D5" s="1290">
        <f>'totrpt 1,19'!L179</f>
        <v>63.3</v>
      </c>
      <c r="E5" s="1290">
        <f>'totrpt 1,19'!M179</f>
        <v>80.2</v>
      </c>
      <c r="F5" s="1294">
        <f t="shared" si="1"/>
        <v>-3.7011494252873547E-2</v>
      </c>
      <c r="G5" s="1296">
        <f t="shared" si="2"/>
        <v>315.7</v>
      </c>
      <c r="H5" s="1296">
        <f t="shared" si="3"/>
        <v>181.76999999999998</v>
      </c>
      <c r="I5" s="1296">
        <f t="shared" si="4"/>
        <v>335.6</v>
      </c>
      <c r="J5" s="1296"/>
      <c r="K5" s="1294">
        <f t="shared" si="0"/>
        <v>-0.42423186569528037</v>
      </c>
      <c r="L5" s="1286"/>
      <c r="M5" s="1286"/>
      <c r="N5" s="1286"/>
      <c r="O5" s="1286"/>
      <c r="P5" s="1286"/>
      <c r="Q5" s="1286"/>
      <c r="R5" s="1286"/>
      <c r="S5" s="1286"/>
      <c r="T5" s="1286"/>
      <c r="U5" s="1286"/>
      <c r="V5" s="1286"/>
    </row>
    <row r="6" spans="1:22" x14ac:dyDescent="0.25">
      <c r="A6" s="1298" t="s">
        <v>111</v>
      </c>
      <c r="B6" s="1290">
        <f>'totrpt 1,19'!J180</f>
        <v>181.5</v>
      </c>
      <c r="C6" s="1290">
        <f>'totrpt 1,19'!K180</f>
        <v>219.6</v>
      </c>
      <c r="D6" s="1290">
        <f>'totrpt 1,19'!L180</f>
        <v>158.1</v>
      </c>
      <c r="E6" s="1290"/>
      <c r="F6" s="1294">
        <f t="shared" si="1"/>
        <v>0.20991735537190079</v>
      </c>
      <c r="G6" s="1296">
        <f t="shared" si="2"/>
        <v>497.2</v>
      </c>
      <c r="H6" s="1296">
        <f t="shared" si="3"/>
        <v>401.37</v>
      </c>
      <c r="I6" s="1296">
        <f t="shared" si="4"/>
        <v>493.70000000000005</v>
      </c>
      <c r="J6" s="1296"/>
      <c r="K6" s="1294">
        <f t="shared" si="0"/>
        <v>-0.19273934030571196</v>
      </c>
      <c r="L6" s="1286"/>
      <c r="M6" s="1286"/>
      <c r="N6" s="1286"/>
      <c r="O6" s="1286"/>
      <c r="P6" s="1286"/>
      <c r="Q6" s="1286"/>
      <c r="R6" s="1286"/>
      <c r="S6" s="1286"/>
      <c r="T6" s="1286"/>
      <c r="U6" s="1286"/>
      <c r="V6" s="1286"/>
    </row>
    <row r="7" spans="1:22" x14ac:dyDescent="0.25">
      <c r="A7" s="1298" t="s">
        <v>112</v>
      </c>
      <c r="B7" s="1290">
        <f>'totrpt 1,19'!J181</f>
        <v>212.6</v>
      </c>
      <c r="C7" s="1290">
        <f>'totrpt 1,19'!K181</f>
        <v>237.6</v>
      </c>
      <c r="D7" s="1290">
        <f>'totrpt 1,19'!L181</f>
        <v>179.5</v>
      </c>
      <c r="E7" s="1290"/>
      <c r="F7" s="1294">
        <f t="shared" si="1"/>
        <v>0.1175917215428034</v>
      </c>
      <c r="G7" s="1296">
        <f t="shared" si="2"/>
        <v>709.8</v>
      </c>
      <c r="H7" s="1296">
        <f t="shared" si="3"/>
        <v>638.97</v>
      </c>
      <c r="I7" s="1296">
        <f t="shared" si="4"/>
        <v>673.2</v>
      </c>
      <c r="J7" s="1296"/>
      <c r="K7" s="1294">
        <f t="shared" si="0"/>
        <v>-9.978867286559584E-2</v>
      </c>
      <c r="L7" s="1286"/>
      <c r="M7" s="1286"/>
      <c r="N7" s="1286"/>
      <c r="O7" s="1286"/>
      <c r="P7" s="1286"/>
      <c r="Q7" s="1286"/>
      <c r="R7" s="1286"/>
      <c r="S7" s="1286"/>
      <c r="T7" s="1286"/>
      <c r="U7" s="1286"/>
      <c r="V7" s="1286"/>
    </row>
    <row r="8" spans="1:22" x14ac:dyDescent="0.25">
      <c r="A8" s="1298" t="s">
        <v>113</v>
      </c>
      <c r="B8" s="1290">
        <f>'totrpt 1,19'!J182</f>
        <v>241.6</v>
      </c>
      <c r="C8" s="1290">
        <f>'totrpt 1,19'!K182</f>
        <v>265.5</v>
      </c>
      <c r="D8" s="1290">
        <f>'totrpt 1,19'!L182</f>
        <v>161.9</v>
      </c>
      <c r="E8" s="1290"/>
      <c r="F8" s="1294">
        <f t="shared" si="1"/>
        <v>9.8923841059602668E-2</v>
      </c>
      <c r="G8" s="1296">
        <f t="shared" si="2"/>
        <v>951.4</v>
      </c>
      <c r="H8" s="1296">
        <f t="shared" si="3"/>
        <v>904.47</v>
      </c>
      <c r="I8" s="1296">
        <f t="shared" si="4"/>
        <v>835.1</v>
      </c>
      <c r="J8" s="1296"/>
      <c r="K8" s="1294">
        <f t="shared" si="0"/>
        <v>-4.9327307126340078E-2</v>
      </c>
      <c r="L8" s="1286"/>
      <c r="M8" s="1286"/>
      <c r="N8" s="1286"/>
      <c r="O8" s="1286"/>
      <c r="P8" s="1286"/>
      <c r="Q8" s="1286"/>
      <c r="R8" s="1286"/>
      <c r="S8" s="1286"/>
      <c r="T8" s="1286"/>
      <c r="U8" s="1286"/>
      <c r="V8" s="1286"/>
    </row>
    <row r="9" spans="1:22" x14ac:dyDescent="0.25">
      <c r="A9" s="1298" t="s">
        <v>114</v>
      </c>
      <c r="B9" s="1290">
        <f>'totrpt 1,19'!J183</f>
        <v>266.10000000000002</v>
      </c>
      <c r="C9" s="1290">
        <f>'totrpt 1,19'!K183</f>
        <v>285.2</v>
      </c>
      <c r="D9" s="1290">
        <f>'totrpt 1,19'!L183</f>
        <v>218.9</v>
      </c>
      <c r="E9" s="1290"/>
      <c r="F9" s="1294">
        <f t="shared" si="1"/>
        <v>7.1777527245396336E-2</v>
      </c>
      <c r="G9" s="1296">
        <f t="shared" si="2"/>
        <v>1217.5</v>
      </c>
      <c r="H9" s="1296">
        <f t="shared" si="3"/>
        <v>1189.67</v>
      </c>
      <c r="I9" s="1296">
        <f t="shared" si="4"/>
        <v>1054</v>
      </c>
      <c r="J9" s="1296"/>
      <c r="K9" s="1294">
        <f t="shared" si="0"/>
        <v>-2.2858316221765856E-2</v>
      </c>
      <c r="L9" s="1286"/>
      <c r="M9" s="1286"/>
      <c r="N9" s="1286"/>
      <c r="O9" s="1286"/>
      <c r="P9" s="1286"/>
      <c r="Q9" s="1286"/>
      <c r="R9" s="1286"/>
      <c r="S9" s="1286"/>
      <c r="T9" s="1286"/>
      <c r="U9" s="1286"/>
      <c r="V9" s="1286"/>
    </row>
    <row r="10" spans="1:22" x14ac:dyDescent="0.25">
      <c r="A10" s="1298" t="s">
        <v>115</v>
      </c>
      <c r="B10" s="1289">
        <v>257</v>
      </c>
      <c r="C10" s="1290">
        <f>'totrpt 1,19'!K184</f>
        <v>255</v>
      </c>
      <c r="D10" s="1290">
        <f>'totrpt 1,19'!L184</f>
        <v>212.3</v>
      </c>
      <c r="E10" s="1290"/>
      <c r="F10" s="1294">
        <f t="shared" si="1"/>
        <v>-7.7821011673151752E-3</v>
      </c>
      <c r="G10" s="1296">
        <f t="shared" si="2"/>
        <v>1474.5</v>
      </c>
      <c r="H10" s="1296">
        <f t="shared" si="3"/>
        <v>1444.67</v>
      </c>
      <c r="I10" s="1296">
        <f t="shared" si="4"/>
        <v>1266.3</v>
      </c>
      <c r="J10" s="1296"/>
      <c r="K10" s="1294">
        <f t="shared" si="0"/>
        <v>-2.0230586639538778E-2</v>
      </c>
      <c r="L10" s="1286"/>
      <c r="M10" s="1286"/>
      <c r="N10" s="1286"/>
      <c r="O10" s="1286"/>
      <c r="P10" s="1286"/>
      <c r="Q10" s="1286"/>
      <c r="R10" s="1286"/>
      <c r="S10" s="1286"/>
      <c r="T10" s="1286"/>
      <c r="U10" s="1286"/>
      <c r="V10" s="1286"/>
    </row>
    <row r="11" spans="1:22" x14ac:dyDescent="0.25">
      <c r="A11" s="1298" t="s">
        <v>116</v>
      </c>
      <c r="B11" s="1290">
        <v>207.1</v>
      </c>
      <c r="C11" s="1290">
        <f>'totrpt 1,19'!K185</f>
        <v>176.2</v>
      </c>
      <c r="D11" s="1290">
        <f>'totrpt 1,19'!L185</f>
        <v>186</v>
      </c>
      <c r="E11" s="1290"/>
      <c r="F11" s="1294">
        <f t="shared" si="1"/>
        <v>-0.14920328343795272</v>
      </c>
      <c r="G11" s="1296">
        <f t="shared" si="2"/>
        <v>1681.6</v>
      </c>
      <c r="H11" s="1296">
        <f t="shared" si="3"/>
        <v>1620.8700000000001</v>
      </c>
      <c r="I11" s="1296">
        <f t="shared" si="4"/>
        <v>1452.3</v>
      </c>
      <c r="J11" s="1296"/>
      <c r="K11" s="1294">
        <f t="shared" si="0"/>
        <v>-3.6114414843006537E-2</v>
      </c>
      <c r="L11" s="1286"/>
      <c r="M11" s="1286"/>
      <c r="N11" s="1286"/>
      <c r="O11" s="1286"/>
      <c r="P11" s="1286"/>
      <c r="Q11" s="1286"/>
      <c r="R11" s="1286"/>
      <c r="S11" s="1286"/>
      <c r="T11" s="1286"/>
      <c r="U11" s="1286"/>
      <c r="V11" s="1286"/>
    </row>
    <row r="12" spans="1:22" x14ac:dyDescent="0.25">
      <c r="A12" s="1298" t="s">
        <v>117</v>
      </c>
      <c r="B12" s="1290">
        <v>53</v>
      </c>
      <c r="C12" s="1290">
        <f>'totrpt 1,19'!K186</f>
        <v>66.3</v>
      </c>
      <c r="D12" s="1290">
        <f>'totrpt 1,19'!L186</f>
        <v>225.4</v>
      </c>
      <c r="E12" s="1290"/>
      <c r="F12" s="1294">
        <f t="shared" si="1"/>
        <v>0.25094339622641504</v>
      </c>
      <c r="G12" s="1296">
        <f t="shared" si="2"/>
        <v>1734.6</v>
      </c>
      <c r="H12" s="1296">
        <f t="shared" si="3"/>
        <v>1687.17</v>
      </c>
      <c r="I12" s="1296">
        <f t="shared" si="4"/>
        <v>1677.7</v>
      </c>
      <c r="J12" s="1296"/>
      <c r="K12" s="1294">
        <f t="shared" si="0"/>
        <v>-2.7343479764787178E-2</v>
      </c>
      <c r="L12" s="1286"/>
      <c r="M12" s="1286"/>
      <c r="N12" s="1286"/>
      <c r="O12" s="1286"/>
      <c r="P12" s="1286"/>
      <c r="Q12" s="1286"/>
      <c r="R12" s="1286"/>
      <c r="S12" s="1286"/>
      <c r="T12" s="1286"/>
      <c r="U12" s="1286"/>
      <c r="V12" s="1286"/>
    </row>
    <row r="13" spans="1:22" x14ac:dyDescent="0.25">
      <c r="A13" s="1298" t="s">
        <v>118</v>
      </c>
      <c r="B13" s="1290">
        <v>31.1</v>
      </c>
      <c r="C13" s="1290">
        <f>'totrpt 1,19'!K187</f>
        <v>53.2</v>
      </c>
      <c r="D13" s="1290">
        <f>'totrpt 1,19'!L187</f>
        <v>41.23</v>
      </c>
      <c r="E13" s="1290"/>
      <c r="F13" s="1294">
        <f t="shared" si="1"/>
        <v>0.71061093247588425</v>
      </c>
      <c r="G13" s="1296">
        <f t="shared" si="2"/>
        <v>1765.6999999999998</v>
      </c>
      <c r="H13" s="1296">
        <f t="shared" si="3"/>
        <v>1740.3700000000001</v>
      </c>
      <c r="I13" s="1296">
        <f t="shared" si="4"/>
        <v>1718.93</v>
      </c>
      <c r="J13" s="1296"/>
      <c r="K13" s="1294">
        <f t="shared" si="0"/>
        <v>-1.4345585320269413E-2</v>
      </c>
      <c r="L13" s="1286"/>
      <c r="M13" s="1286"/>
      <c r="N13" s="1286"/>
      <c r="O13" s="1286"/>
      <c r="P13" s="1286"/>
      <c r="Q13" s="1286"/>
      <c r="R13" s="1286"/>
      <c r="S13" s="1286"/>
      <c r="T13" s="1286"/>
      <c r="U13" s="1286"/>
      <c r="V13" s="1286"/>
    </row>
    <row r="14" spans="1:22" x14ac:dyDescent="0.25">
      <c r="A14" s="1298" t="s">
        <v>119</v>
      </c>
      <c r="B14" s="1290">
        <v>25.4</v>
      </c>
      <c r="C14" s="1290">
        <f>'totrpt 1,19'!K188</f>
        <v>13.6</v>
      </c>
      <c r="D14" s="1290">
        <f>'totrpt 1,19'!L188</f>
        <v>37.1</v>
      </c>
      <c r="E14" s="1290"/>
      <c r="F14" s="1294">
        <f t="shared" si="1"/>
        <v>-0.46456692913385828</v>
      </c>
      <c r="G14" s="1296">
        <f t="shared" si="2"/>
        <v>1791.1</v>
      </c>
      <c r="H14" s="1296">
        <f t="shared" si="3"/>
        <v>1753.97</v>
      </c>
      <c r="I14" s="1296">
        <f t="shared" si="4"/>
        <v>1756.03</v>
      </c>
      <c r="J14" s="1296"/>
      <c r="K14" s="1294">
        <f t="shared" si="0"/>
        <v>-2.0730277483110873E-2</v>
      </c>
      <c r="L14" s="1286"/>
      <c r="M14" s="1286"/>
      <c r="N14" s="1286"/>
      <c r="O14" s="1286"/>
      <c r="P14" s="1286"/>
      <c r="Q14" s="1286"/>
      <c r="R14" s="1286"/>
      <c r="S14" s="1286"/>
      <c r="T14" s="1286"/>
      <c r="U14" s="1286"/>
      <c r="V14" s="1286"/>
    </row>
    <row r="15" spans="1:22" x14ac:dyDescent="0.25">
      <c r="A15" s="1298"/>
      <c r="B15" s="1287"/>
      <c r="C15" s="1287"/>
      <c r="D15" s="1287"/>
      <c r="E15" s="1287"/>
      <c r="F15" s="1295"/>
      <c r="G15" s="1295"/>
      <c r="H15" s="1295"/>
      <c r="I15" s="1295"/>
      <c r="J15" s="1295"/>
      <c r="K15" s="1295"/>
      <c r="L15" s="1286"/>
      <c r="M15" s="1286"/>
      <c r="N15" s="1286"/>
      <c r="O15" s="1286"/>
      <c r="P15" s="1286"/>
      <c r="Q15" s="1286"/>
      <c r="R15" s="1286"/>
      <c r="S15" s="1286"/>
      <c r="T15" s="1286"/>
      <c r="U15" s="1286"/>
      <c r="V15" s="1286"/>
    </row>
    <row r="16" spans="1:22" x14ac:dyDescent="0.25">
      <c r="A16" s="1298"/>
      <c r="B16" s="1287"/>
      <c r="C16" s="1287"/>
      <c r="D16" s="1287"/>
      <c r="E16" s="1287"/>
      <c r="F16" s="1295"/>
      <c r="G16" s="1295"/>
      <c r="H16" s="1295"/>
      <c r="I16" s="1295"/>
      <c r="J16" s="1295"/>
      <c r="K16" s="1295"/>
      <c r="L16" s="1286"/>
      <c r="M16" s="1286"/>
      <c r="N16" s="1286"/>
      <c r="O16" s="1286"/>
      <c r="P16" s="1286"/>
      <c r="Q16" s="1286"/>
      <c r="R16" s="1286"/>
      <c r="S16" s="1286"/>
      <c r="T16" s="1286"/>
      <c r="U16" s="1286"/>
      <c r="V16" s="1286"/>
    </row>
    <row r="17" spans="1:22" x14ac:dyDescent="0.25">
      <c r="A17" s="1298"/>
      <c r="B17" s="1287"/>
      <c r="C17" s="1287"/>
      <c r="D17" s="1287"/>
      <c r="E17" s="1287"/>
      <c r="F17" s="1295"/>
      <c r="G17" s="1295"/>
      <c r="H17" s="1295"/>
      <c r="I17" s="1295"/>
      <c r="J17" s="1295"/>
      <c r="K17" s="1295"/>
      <c r="L17" s="1286"/>
      <c r="M17" s="1286"/>
      <c r="N17" s="1286"/>
      <c r="O17" s="1286"/>
      <c r="P17" s="1286"/>
      <c r="Q17" s="1286"/>
      <c r="R17" s="1286"/>
      <c r="S17" s="1286"/>
      <c r="T17" s="1286"/>
      <c r="U17" s="1286"/>
      <c r="V17" s="1286"/>
    </row>
    <row r="18" spans="1:22" x14ac:dyDescent="0.25">
      <c r="B18" s="1287"/>
      <c r="C18" s="1287"/>
      <c r="D18" s="1287"/>
      <c r="E18" s="1287"/>
      <c r="F18" s="1287"/>
      <c r="G18" s="1287"/>
      <c r="H18" s="1287"/>
      <c r="I18" s="1287"/>
      <c r="J18" s="1287"/>
      <c r="K18" s="1287"/>
      <c r="L18" s="1286"/>
      <c r="M18" s="1286"/>
      <c r="N18" s="1286"/>
      <c r="O18" s="1286"/>
      <c r="P18" s="1286"/>
      <c r="Q18" s="1286"/>
      <c r="R18" s="1286"/>
      <c r="S18" s="1286"/>
      <c r="T18" s="1286"/>
      <c r="U18" s="1286"/>
      <c r="V18" s="1286"/>
    </row>
    <row r="19" spans="1:22" x14ac:dyDescent="0.25">
      <c r="A19" s="1707" t="s">
        <v>1118</v>
      </c>
      <c r="B19" s="1707"/>
      <c r="C19" s="1707"/>
      <c r="D19" s="1707"/>
      <c r="E19" s="1707"/>
      <c r="F19" s="1707"/>
      <c r="G19" s="1707"/>
      <c r="H19" s="1707"/>
      <c r="I19" s="1707"/>
      <c r="J19" s="1707"/>
      <c r="K19" s="1707"/>
      <c r="L19" s="1286"/>
      <c r="M19" s="1286"/>
      <c r="N19" s="1286"/>
      <c r="O19" s="1433">
        <v>69</v>
      </c>
      <c r="P19" s="1286"/>
      <c r="Q19" s="1286"/>
      <c r="R19" s="1286"/>
      <c r="S19" s="1286"/>
      <c r="T19" s="1286"/>
      <c r="U19" s="1286"/>
      <c r="V19" s="1286"/>
    </row>
    <row r="20" spans="1:22" x14ac:dyDescent="0.25">
      <c r="A20" s="1288"/>
      <c r="B20" s="1292">
        <v>2016</v>
      </c>
      <c r="C20" s="1292">
        <v>2017</v>
      </c>
      <c r="D20" s="1292">
        <v>2018</v>
      </c>
      <c r="E20" s="1292">
        <v>2019</v>
      </c>
      <c r="F20" s="1292" t="s">
        <v>1122</v>
      </c>
      <c r="G20" s="1292" t="s">
        <v>1174</v>
      </c>
      <c r="H20" s="1292" t="s">
        <v>1221</v>
      </c>
      <c r="I20" s="1292" t="s">
        <v>1231</v>
      </c>
      <c r="J20" s="1292" t="s">
        <v>1269</v>
      </c>
      <c r="K20" s="1292" t="s">
        <v>1121</v>
      </c>
      <c r="L20" s="1287"/>
      <c r="M20" s="1286"/>
      <c r="N20" s="1286"/>
      <c r="O20" s="1286"/>
      <c r="P20" s="1286"/>
      <c r="Q20" s="1286"/>
      <c r="R20" s="1286"/>
      <c r="S20" s="1286"/>
      <c r="T20" s="1286"/>
      <c r="U20" s="1286"/>
      <c r="V20" s="1286"/>
    </row>
    <row r="21" spans="1:22" x14ac:dyDescent="0.25">
      <c r="A21" s="1298" t="s">
        <v>108</v>
      </c>
      <c r="B21" s="1290">
        <f>'totrpt 1,19'!J194</f>
        <v>311.39999999999998</v>
      </c>
      <c r="C21" s="1290">
        <f>'totrpt 1,19'!K194</f>
        <v>292.60000000000002</v>
      </c>
      <c r="D21" s="1290">
        <f>'totrpt 1,19'!L194</f>
        <v>505.2</v>
      </c>
      <c r="E21" s="1290">
        <f>'totrpt 1,19'!M194</f>
        <v>328.5</v>
      </c>
      <c r="F21" s="1294">
        <f>(C21-B21)/ABS(B21)</f>
        <v>-6.0372511239563123E-2</v>
      </c>
      <c r="G21" s="1296">
        <f>B21</f>
        <v>311.39999999999998</v>
      </c>
      <c r="H21" s="1296">
        <f>C21</f>
        <v>292.60000000000002</v>
      </c>
      <c r="I21" s="1296">
        <f>D21</f>
        <v>505.2</v>
      </c>
      <c r="J21" s="1296"/>
      <c r="K21" s="1294">
        <f t="shared" ref="K21:K32" si="5">(H21-G21)/ABS(G21)</f>
        <v>-6.0372511239563123E-2</v>
      </c>
      <c r="L21" s="1287"/>
      <c r="M21" s="1286"/>
      <c r="N21" s="1286"/>
      <c r="O21" s="1286"/>
      <c r="P21" s="1286"/>
      <c r="Q21" s="1286"/>
      <c r="R21" s="1286"/>
      <c r="S21" s="1286"/>
      <c r="T21" s="1286"/>
      <c r="U21" s="1286"/>
      <c r="V21" s="1286"/>
    </row>
    <row r="22" spans="1:22" x14ac:dyDescent="0.25">
      <c r="A22" s="1298" t="s">
        <v>109</v>
      </c>
      <c r="B22" s="1290">
        <f>'totrpt 1,19'!J195</f>
        <v>432.2</v>
      </c>
      <c r="C22" s="1290">
        <f>'totrpt 1,19'!K195</f>
        <v>238</v>
      </c>
      <c r="D22" s="1290">
        <f>'totrpt 1,19'!L195</f>
        <v>539.1</v>
      </c>
      <c r="E22" s="1290">
        <f>'totrpt 1,19'!M195</f>
        <v>231.3</v>
      </c>
      <c r="F22" s="1294">
        <f t="shared" ref="F22:F32" si="6">(C22-B22)/ABS(B22)</f>
        <v>-0.44932901434521055</v>
      </c>
      <c r="G22" s="1296">
        <f t="shared" ref="G22:G32" si="7">G21+B22</f>
        <v>743.59999999999991</v>
      </c>
      <c r="H22" s="1296">
        <f t="shared" ref="H22:H32" si="8">H21+C22</f>
        <v>530.6</v>
      </c>
      <c r="I22" s="1296">
        <f t="shared" ref="I22:I32" si="9">I21+D22</f>
        <v>1044.3</v>
      </c>
      <c r="J22" s="1296"/>
      <c r="K22" s="1294">
        <f t="shared" si="5"/>
        <v>-0.28644432490586325</v>
      </c>
      <c r="L22" s="1291"/>
    </row>
    <row r="23" spans="1:22" x14ac:dyDescent="0.25">
      <c r="A23" s="1298" t="s">
        <v>110</v>
      </c>
      <c r="B23" s="1290">
        <f>'totrpt 1,19'!J196</f>
        <v>382.2</v>
      </c>
      <c r="C23" s="1290">
        <f>'totrpt 1,19'!K196</f>
        <v>435.3</v>
      </c>
      <c r="D23" s="1290">
        <f>'totrpt 1,19'!L196</f>
        <v>332.8</v>
      </c>
      <c r="E23" s="1290">
        <f>'totrpt 1,19'!M196</f>
        <v>326.60000000000002</v>
      </c>
      <c r="F23" s="1294">
        <f t="shared" si="6"/>
        <v>0.1389324960753533</v>
      </c>
      <c r="G23" s="1296">
        <f t="shared" si="7"/>
        <v>1125.8</v>
      </c>
      <c r="H23" s="1296">
        <f t="shared" si="8"/>
        <v>965.90000000000009</v>
      </c>
      <c r="I23" s="1296">
        <f t="shared" si="9"/>
        <v>1377.1</v>
      </c>
      <c r="J23" s="1296"/>
      <c r="K23" s="1294">
        <f t="shared" si="5"/>
        <v>-0.14203233256351028</v>
      </c>
      <c r="L23" s="1291"/>
    </row>
    <row r="24" spans="1:22" x14ac:dyDescent="0.25">
      <c r="A24" s="1298" t="s">
        <v>111</v>
      </c>
      <c r="B24" s="1290">
        <f>'totrpt 1,19'!J197</f>
        <v>479.4</v>
      </c>
      <c r="C24" s="1290">
        <f>'totrpt 1,19'!K197</f>
        <v>587</v>
      </c>
      <c r="D24" s="1290">
        <f>'totrpt 1,19'!L197</f>
        <v>584.70000000000005</v>
      </c>
      <c r="E24" s="1290"/>
      <c r="F24" s="1294">
        <f t="shared" si="6"/>
        <v>0.22444722569879022</v>
      </c>
      <c r="G24" s="1296">
        <f t="shared" si="7"/>
        <v>1605.1999999999998</v>
      </c>
      <c r="H24" s="1296">
        <f t="shared" si="8"/>
        <v>1552.9</v>
      </c>
      <c r="I24" s="1296">
        <f t="shared" si="9"/>
        <v>1961.8</v>
      </c>
      <c r="J24" s="1296"/>
      <c r="K24" s="1294">
        <f t="shared" si="5"/>
        <v>-3.2581609768253014E-2</v>
      </c>
      <c r="L24" s="1291"/>
    </row>
    <row r="25" spans="1:22" x14ac:dyDescent="0.25">
      <c r="A25" s="1298" t="s">
        <v>112</v>
      </c>
      <c r="B25" s="1290">
        <f>'totrpt 1,19'!J198</f>
        <v>570.29999999999995</v>
      </c>
      <c r="C25" s="1290">
        <f>'totrpt 1,19'!K198</f>
        <v>704.8</v>
      </c>
      <c r="D25" s="1290">
        <f>'totrpt 1,19'!L198</f>
        <v>623.20000000000005</v>
      </c>
      <c r="E25" s="1290"/>
      <c r="F25" s="1294">
        <f t="shared" si="6"/>
        <v>0.23584078555146415</v>
      </c>
      <c r="G25" s="1296">
        <f t="shared" si="7"/>
        <v>2175.5</v>
      </c>
      <c r="H25" s="1296">
        <f t="shared" si="8"/>
        <v>2257.6999999999998</v>
      </c>
      <c r="I25" s="1296">
        <f t="shared" si="9"/>
        <v>2585</v>
      </c>
      <c r="J25" s="1296"/>
      <c r="K25" s="1294">
        <f t="shared" si="5"/>
        <v>3.7784417375315939E-2</v>
      </c>
      <c r="L25" s="1291"/>
    </row>
    <row r="26" spans="1:22" x14ac:dyDescent="0.25">
      <c r="A26" s="1298" t="s">
        <v>113</v>
      </c>
      <c r="B26" s="1290">
        <f>'totrpt 1,19'!J199</f>
        <v>685.3</v>
      </c>
      <c r="C26" s="1290">
        <f>'totrpt 1,19'!K199</f>
        <v>721.4</v>
      </c>
      <c r="D26" s="1290">
        <f>'totrpt 1,19'!L199</f>
        <v>740.4</v>
      </c>
      <c r="E26" s="1290"/>
      <c r="F26" s="1294">
        <f t="shared" si="6"/>
        <v>5.2677659419232491E-2</v>
      </c>
      <c r="G26" s="1296">
        <f t="shared" si="7"/>
        <v>2860.8</v>
      </c>
      <c r="H26" s="1296">
        <f t="shared" si="8"/>
        <v>2979.1</v>
      </c>
      <c r="I26" s="1296">
        <f t="shared" si="9"/>
        <v>3325.4</v>
      </c>
      <c r="J26" s="1296"/>
      <c r="K26" s="1294">
        <f t="shared" si="5"/>
        <v>4.1352069351230328E-2</v>
      </c>
      <c r="L26" s="1291"/>
    </row>
    <row r="27" spans="1:22" x14ac:dyDescent="0.25">
      <c r="A27" s="1298" t="s">
        <v>114</v>
      </c>
      <c r="B27" s="1289">
        <f>'totrpt 1,19'!J200</f>
        <v>766</v>
      </c>
      <c r="C27" s="1290">
        <f>'totrpt 1,19'!K200</f>
        <v>814.9</v>
      </c>
      <c r="D27" s="1290">
        <f>'totrpt 1,19'!L200</f>
        <v>847.2</v>
      </c>
      <c r="E27" s="1290"/>
      <c r="F27" s="1294">
        <f t="shared" si="6"/>
        <v>6.3838120104438609E-2</v>
      </c>
      <c r="G27" s="1296">
        <f t="shared" si="7"/>
        <v>3626.8</v>
      </c>
      <c r="H27" s="1296">
        <f t="shared" si="8"/>
        <v>3794</v>
      </c>
      <c r="I27" s="1296">
        <f t="shared" si="9"/>
        <v>4172.6000000000004</v>
      </c>
      <c r="J27" s="1296"/>
      <c r="K27" s="1294">
        <f t="shared" si="5"/>
        <v>4.6101246277710325E-2</v>
      </c>
      <c r="L27" s="1291"/>
    </row>
    <row r="28" spans="1:22" x14ac:dyDescent="0.25">
      <c r="A28" s="1298" t="s">
        <v>115</v>
      </c>
      <c r="B28" s="1290">
        <v>762.1</v>
      </c>
      <c r="C28" s="1290">
        <f>'totrpt 1,19'!K201</f>
        <v>834.4</v>
      </c>
      <c r="D28" s="1290">
        <f>'totrpt 1,19'!L201</f>
        <v>846.9</v>
      </c>
      <c r="E28" s="1290"/>
      <c r="F28" s="1294">
        <f t="shared" si="6"/>
        <v>9.4869439706075254E-2</v>
      </c>
      <c r="G28" s="1296">
        <f t="shared" si="7"/>
        <v>4388.9000000000005</v>
      </c>
      <c r="H28" s="1296">
        <f t="shared" si="8"/>
        <v>4628.3999999999996</v>
      </c>
      <c r="I28" s="1296">
        <f t="shared" si="9"/>
        <v>5019.5</v>
      </c>
      <c r="J28" s="1296"/>
      <c r="K28" s="1294">
        <f t="shared" si="5"/>
        <v>5.4569482102576741E-2</v>
      </c>
      <c r="L28" s="1291"/>
    </row>
    <row r="29" spans="1:22" x14ac:dyDescent="0.25">
      <c r="A29" s="1298" t="s">
        <v>116</v>
      </c>
      <c r="B29" s="1290">
        <v>742</v>
      </c>
      <c r="C29" s="1290">
        <f>'totrpt 1,19'!K202</f>
        <v>823.4</v>
      </c>
      <c r="D29" s="1290">
        <f>'totrpt 1,19'!L202</f>
        <v>713.2</v>
      </c>
      <c r="E29" s="1290"/>
      <c r="F29" s="1294">
        <f t="shared" si="6"/>
        <v>0.10970350404312665</v>
      </c>
      <c r="G29" s="1296">
        <f t="shared" si="7"/>
        <v>5130.9000000000005</v>
      </c>
      <c r="H29" s="1296">
        <f t="shared" si="8"/>
        <v>5451.7999999999993</v>
      </c>
      <c r="I29" s="1296">
        <f t="shared" si="9"/>
        <v>5732.7</v>
      </c>
      <c r="J29" s="1296"/>
      <c r="K29" s="1294">
        <f t="shared" si="5"/>
        <v>6.2542633845913714E-2</v>
      </c>
      <c r="L29" s="1291"/>
    </row>
    <row r="30" spans="1:22" x14ac:dyDescent="0.25">
      <c r="A30" s="1298" t="s">
        <v>117</v>
      </c>
      <c r="B30" s="1290">
        <v>761.5</v>
      </c>
      <c r="C30" s="1290">
        <f>'totrpt 1,19'!K203</f>
        <v>929.5</v>
      </c>
      <c r="D30" s="1290">
        <f>'totrpt 1,19'!L203</f>
        <v>636.4</v>
      </c>
      <c r="E30" s="1290"/>
      <c r="F30" s="1294">
        <f t="shared" si="6"/>
        <v>0.2206172028890348</v>
      </c>
      <c r="G30" s="1296">
        <f t="shared" si="7"/>
        <v>5892.4000000000005</v>
      </c>
      <c r="H30" s="1296">
        <f t="shared" si="8"/>
        <v>6381.2999999999993</v>
      </c>
      <c r="I30" s="1296">
        <f t="shared" si="9"/>
        <v>6369.0999999999995</v>
      </c>
      <c r="J30" s="1296"/>
      <c r="K30" s="1294">
        <f t="shared" si="5"/>
        <v>8.2971285045142673E-2</v>
      </c>
      <c r="L30" s="1291"/>
    </row>
    <row r="31" spans="1:22" x14ac:dyDescent="0.25">
      <c r="A31" s="1298" t="s">
        <v>118</v>
      </c>
      <c r="B31" s="1290">
        <v>629.70000000000005</v>
      </c>
      <c r="C31" s="1290">
        <f>'totrpt 1,19'!K204</f>
        <v>734</v>
      </c>
      <c r="D31" s="1290">
        <f>'totrpt 1,19'!L204</f>
        <v>705.8</v>
      </c>
      <c r="E31" s="1290"/>
      <c r="F31" s="1294">
        <f t="shared" si="6"/>
        <v>0.1656344290932189</v>
      </c>
      <c r="G31" s="1296">
        <f t="shared" si="7"/>
        <v>6522.1</v>
      </c>
      <c r="H31" s="1296">
        <f t="shared" si="8"/>
        <v>7115.2999999999993</v>
      </c>
      <c r="I31" s="1296">
        <f t="shared" si="9"/>
        <v>7074.9</v>
      </c>
      <c r="J31" s="1296"/>
      <c r="K31" s="1294">
        <f t="shared" si="5"/>
        <v>9.095230063936445E-2</v>
      </c>
      <c r="L31" s="1291"/>
    </row>
    <row r="32" spans="1:22" x14ac:dyDescent="0.25">
      <c r="A32" s="1298" t="s">
        <v>119</v>
      </c>
      <c r="B32" s="1290">
        <v>461.6</v>
      </c>
      <c r="C32" s="1290">
        <f>'totrpt 1,19'!K205</f>
        <v>832.1</v>
      </c>
      <c r="D32" s="1290">
        <f>'totrpt 1,19'!L205</f>
        <v>432.2</v>
      </c>
      <c r="E32" s="1290"/>
      <c r="F32" s="1294">
        <f t="shared" si="6"/>
        <v>0.80264298093587516</v>
      </c>
      <c r="G32" s="1296">
        <f t="shared" si="7"/>
        <v>6983.7000000000007</v>
      </c>
      <c r="H32" s="1296">
        <f t="shared" si="8"/>
        <v>7947.4</v>
      </c>
      <c r="I32" s="1296">
        <f t="shared" si="9"/>
        <v>7507.0999999999995</v>
      </c>
      <c r="J32" s="1296"/>
      <c r="K32" s="1294">
        <f t="shared" si="5"/>
        <v>0.1379927545570398</v>
      </c>
      <c r="L32" s="1291"/>
    </row>
    <row r="33" spans="1:11" x14ac:dyDescent="0.25">
      <c r="A33" s="1288"/>
      <c r="B33" s="1288"/>
      <c r="C33" s="1288"/>
      <c r="D33" s="1288"/>
      <c r="E33" s="1288"/>
      <c r="F33" s="1288"/>
      <c r="G33" s="1288"/>
      <c r="H33" s="1288"/>
      <c r="I33" s="1288"/>
      <c r="J33" s="1288"/>
      <c r="K33" s="1288"/>
    </row>
    <row r="34" spans="1:11" x14ac:dyDescent="0.25">
      <c r="A34" s="1288"/>
      <c r="B34" s="1288"/>
      <c r="C34" s="1288"/>
      <c r="D34" s="1288"/>
      <c r="E34" s="1288"/>
      <c r="F34" s="1288"/>
      <c r="G34" s="1288"/>
      <c r="H34" s="1288"/>
      <c r="I34" s="1288"/>
      <c r="J34" s="1288"/>
      <c r="K34" s="1288"/>
    </row>
    <row r="37" spans="1:11" x14ac:dyDescent="0.25">
      <c r="A37" s="1707" t="s">
        <v>1119</v>
      </c>
      <c r="B37" s="1707"/>
      <c r="C37" s="1707"/>
      <c r="D37" s="1707"/>
      <c r="E37" s="1707"/>
      <c r="F37" s="1707"/>
      <c r="G37" s="1707"/>
      <c r="H37" s="1707"/>
      <c r="I37" s="1707"/>
      <c r="J37" s="1707"/>
      <c r="K37" s="1707"/>
    </row>
    <row r="38" spans="1:11" x14ac:dyDescent="0.25">
      <c r="A38" s="1287"/>
      <c r="B38" s="1292">
        <v>2016</v>
      </c>
      <c r="C38" s="1292">
        <v>2017</v>
      </c>
      <c r="D38" s="1292">
        <v>2018</v>
      </c>
      <c r="E38" s="1292">
        <v>2019</v>
      </c>
      <c r="F38" s="1292" t="s">
        <v>1122</v>
      </c>
      <c r="G38" s="1292" t="s">
        <v>1174</v>
      </c>
      <c r="H38" s="1292" t="s">
        <v>1221</v>
      </c>
      <c r="I38" s="1292" t="s">
        <v>1231</v>
      </c>
      <c r="J38" s="1292" t="s">
        <v>1269</v>
      </c>
      <c r="K38" s="1292" t="s">
        <v>1121</v>
      </c>
    </row>
    <row r="39" spans="1:11" x14ac:dyDescent="0.25">
      <c r="A39" s="1298" t="s">
        <v>108</v>
      </c>
      <c r="B39" s="1290">
        <f>'totrpt 1,19'!J211</f>
        <v>373.29999999999995</v>
      </c>
      <c r="C39" s="1290">
        <f>'totrpt 1,19'!K211</f>
        <v>309.3</v>
      </c>
      <c r="D39" s="1290">
        <f>'totrpt 1,19'!L211</f>
        <v>629.70000000000005</v>
      </c>
      <c r="E39" s="1290">
        <f>'totrpt 1,19'!M211</f>
        <v>386.3</v>
      </c>
      <c r="F39" s="1294">
        <f>(C39-B39)/ABS(B39)</f>
        <v>-0.17144387891776039</v>
      </c>
      <c r="G39" s="1296">
        <f>B39</f>
        <v>373.29999999999995</v>
      </c>
      <c r="H39" s="1296">
        <f>C39</f>
        <v>309.3</v>
      </c>
      <c r="I39" s="1296">
        <f>D39</f>
        <v>629.70000000000005</v>
      </c>
      <c r="J39" s="1296"/>
      <c r="K39" s="1294">
        <f t="shared" ref="K39:K50" si="10">(H39-G39)/ABS(G39)</f>
        <v>-0.17144387891776039</v>
      </c>
    </row>
    <row r="40" spans="1:11" x14ac:dyDescent="0.25">
      <c r="A40" s="1298" t="s">
        <v>109</v>
      </c>
      <c r="B40" s="1290">
        <f>'totrpt 1,19'!J212</f>
        <v>555.5</v>
      </c>
      <c r="C40" s="1290">
        <f>'totrpt 1,19'!K212</f>
        <v>277.39999999999998</v>
      </c>
      <c r="D40" s="1290">
        <f>'totrpt 1,19'!L212</f>
        <v>686.90000000000009</v>
      </c>
      <c r="E40" s="1290">
        <f>'totrpt 1,19'!M212</f>
        <v>267.2</v>
      </c>
      <c r="F40" s="1294">
        <f t="shared" ref="F40:F50" si="11">(C40-B40)/ABS(B40)</f>
        <v>-0.50063006300630064</v>
      </c>
      <c r="G40" s="1296">
        <f t="shared" ref="G40:G50" si="12">G39+B40</f>
        <v>928.8</v>
      </c>
      <c r="H40" s="1296">
        <f t="shared" ref="H40:H50" si="13">H39+C40</f>
        <v>586.70000000000005</v>
      </c>
      <c r="I40" s="1296">
        <f t="shared" ref="I40:I50" si="14">I39+D40</f>
        <v>1316.6000000000001</v>
      </c>
      <c r="J40" s="1296"/>
      <c r="K40" s="1294">
        <f t="shared" si="10"/>
        <v>-0.36832472006890604</v>
      </c>
    </row>
    <row r="41" spans="1:11" x14ac:dyDescent="0.25">
      <c r="A41" s="1298" t="s">
        <v>110</v>
      </c>
      <c r="B41" s="1290">
        <f>'totrpt 1,19'!J213</f>
        <v>512.70000000000005</v>
      </c>
      <c r="C41" s="1290">
        <f>'totrpt 1,19'!K213</f>
        <v>560.97</v>
      </c>
      <c r="D41" s="1290">
        <f>'totrpt 1,19'!L213</f>
        <v>396.1</v>
      </c>
      <c r="E41" s="1290">
        <f>'totrpt 1,19'!M213</f>
        <v>406.8</v>
      </c>
      <c r="F41" s="1294">
        <f t="shared" si="11"/>
        <v>9.4148624926857771E-2</v>
      </c>
      <c r="G41" s="1296">
        <f t="shared" si="12"/>
        <v>1441.5</v>
      </c>
      <c r="H41" s="1296">
        <f t="shared" si="13"/>
        <v>1147.67</v>
      </c>
      <c r="I41" s="1296">
        <f t="shared" si="14"/>
        <v>1712.7000000000003</v>
      </c>
      <c r="J41" s="1296"/>
      <c r="K41" s="1294">
        <f t="shared" si="10"/>
        <v>-0.20383628165105788</v>
      </c>
    </row>
    <row r="42" spans="1:11" x14ac:dyDescent="0.25">
      <c r="A42" s="1298" t="s">
        <v>111</v>
      </c>
      <c r="B42" s="1290">
        <f>'totrpt 1,19'!J214</f>
        <v>660.9</v>
      </c>
      <c r="C42" s="1290">
        <f>'totrpt 1,19'!K214</f>
        <v>806.6</v>
      </c>
      <c r="D42" s="1290">
        <f>'totrpt 1,19'!L214</f>
        <v>742.80000000000007</v>
      </c>
      <c r="E42" s="1290"/>
      <c r="F42" s="1294">
        <f t="shared" si="11"/>
        <v>0.22045695264033902</v>
      </c>
      <c r="G42" s="1296">
        <f t="shared" si="12"/>
        <v>2102.4</v>
      </c>
      <c r="H42" s="1296">
        <f t="shared" si="13"/>
        <v>1954.27</v>
      </c>
      <c r="I42" s="1296">
        <f t="shared" si="14"/>
        <v>2455.5000000000005</v>
      </c>
      <c r="J42" s="1296"/>
      <c r="K42" s="1294">
        <f t="shared" si="10"/>
        <v>-7.0457572298325777E-2</v>
      </c>
    </row>
    <row r="43" spans="1:11" x14ac:dyDescent="0.25">
      <c r="A43" s="1298" t="s">
        <v>112</v>
      </c>
      <c r="B43" s="1290">
        <f>'totrpt 1,19'!J215</f>
        <v>782.9</v>
      </c>
      <c r="C43" s="1290">
        <f>'totrpt 1,19'!K215</f>
        <v>942.4</v>
      </c>
      <c r="D43" s="1290">
        <f>'totrpt 1,19'!L215</f>
        <v>802.7</v>
      </c>
      <c r="E43" s="1290"/>
      <c r="F43" s="1294">
        <f t="shared" si="11"/>
        <v>0.20372972282539278</v>
      </c>
      <c r="G43" s="1296">
        <f t="shared" si="12"/>
        <v>2885.3</v>
      </c>
      <c r="H43" s="1296">
        <f t="shared" si="13"/>
        <v>2896.67</v>
      </c>
      <c r="I43" s="1296">
        <f t="shared" si="14"/>
        <v>3258.2000000000007</v>
      </c>
      <c r="J43" s="1296"/>
      <c r="K43" s="1294">
        <f t="shared" si="10"/>
        <v>3.9406647488995561E-3</v>
      </c>
    </row>
    <row r="44" spans="1:11" x14ac:dyDescent="0.25">
      <c r="A44" s="1298" t="s">
        <v>113</v>
      </c>
      <c r="B44" s="1290">
        <f>'totrpt 1,19'!J216</f>
        <v>926.9</v>
      </c>
      <c r="C44" s="1290">
        <f>'totrpt 1,19'!K216</f>
        <v>986.9</v>
      </c>
      <c r="D44" s="1290">
        <f>'totrpt 1,19'!L216</f>
        <v>902.3</v>
      </c>
      <c r="E44" s="1290"/>
      <c r="F44" s="1294">
        <f t="shared" si="11"/>
        <v>6.473190203905492E-2</v>
      </c>
      <c r="G44" s="1296">
        <f t="shared" si="12"/>
        <v>3812.2000000000003</v>
      </c>
      <c r="H44" s="1296">
        <f t="shared" si="13"/>
        <v>3883.57</v>
      </c>
      <c r="I44" s="1296">
        <f t="shared" si="14"/>
        <v>4160.5000000000009</v>
      </c>
      <c r="J44" s="1296"/>
      <c r="K44" s="1294">
        <f t="shared" si="10"/>
        <v>1.8721473165101487E-2</v>
      </c>
    </row>
    <row r="45" spans="1:11" x14ac:dyDescent="0.25">
      <c r="A45" s="1298" t="s">
        <v>114</v>
      </c>
      <c r="B45" s="1290">
        <f>'totrpt 1,19'!J217</f>
        <v>1032.0999999999999</v>
      </c>
      <c r="C45" s="1290">
        <f>'totrpt 1,19'!K217</f>
        <v>1100.0999999999999</v>
      </c>
      <c r="D45" s="1290">
        <f>'totrpt 1,19'!L217</f>
        <v>1066.1000000000001</v>
      </c>
      <c r="E45" s="1290"/>
      <c r="F45" s="1294">
        <f t="shared" si="11"/>
        <v>6.5885088654200175E-2</v>
      </c>
      <c r="G45" s="1296">
        <f t="shared" si="12"/>
        <v>4844.3</v>
      </c>
      <c r="H45" s="1296">
        <f t="shared" si="13"/>
        <v>4983.67</v>
      </c>
      <c r="I45" s="1296">
        <f t="shared" si="14"/>
        <v>5226.6000000000013</v>
      </c>
      <c r="J45" s="1296"/>
      <c r="K45" s="1294">
        <f t="shared" si="10"/>
        <v>2.8769894515203412E-2</v>
      </c>
    </row>
    <row r="46" spans="1:11" x14ac:dyDescent="0.25">
      <c r="A46" s="1298" t="s">
        <v>115</v>
      </c>
      <c r="B46" s="1290">
        <f>'totrpt 1,19'!J218</f>
        <v>1019.1</v>
      </c>
      <c r="C46" s="1290">
        <f>'totrpt 1,19'!K218</f>
        <v>1089.4000000000001</v>
      </c>
      <c r="D46" s="1290">
        <f>'totrpt 1,19'!L218</f>
        <v>1059.2</v>
      </c>
      <c r="E46" s="1290"/>
      <c r="F46" s="1294">
        <f t="shared" si="11"/>
        <v>6.8982435482288357E-2</v>
      </c>
      <c r="G46" s="1296">
        <f t="shared" si="12"/>
        <v>5863.4000000000005</v>
      </c>
      <c r="H46" s="1296">
        <f t="shared" si="13"/>
        <v>6073.07</v>
      </c>
      <c r="I46" s="1296">
        <f t="shared" si="14"/>
        <v>6285.8000000000011</v>
      </c>
      <c r="J46" s="1296"/>
      <c r="K46" s="1294">
        <f t="shared" si="10"/>
        <v>3.5759115871337302E-2</v>
      </c>
    </row>
    <row r="47" spans="1:11" x14ac:dyDescent="0.25">
      <c r="A47" s="1298" t="s">
        <v>116</v>
      </c>
      <c r="B47" s="1290">
        <f>'totrpt 1,19'!J219</f>
        <v>949.1</v>
      </c>
      <c r="C47" s="1290">
        <f>'totrpt 1,19'!K219</f>
        <v>999.59999999999991</v>
      </c>
      <c r="D47" s="1290">
        <f>'totrpt 1,19'!L219</f>
        <v>899.2</v>
      </c>
      <c r="E47" s="1290"/>
      <c r="F47" s="1294">
        <f t="shared" si="11"/>
        <v>5.3208302602465375E-2</v>
      </c>
      <c r="G47" s="1296">
        <f t="shared" si="12"/>
        <v>6812.5000000000009</v>
      </c>
      <c r="H47" s="1296">
        <f t="shared" si="13"/>
        <v>7072.67</v>
      </c>
      <c r="I47" s="1296">
        <f t="shared" si="14"/>
        <v>7185.0000000000009</v>
      </c>
      <c r="J47" s="1296"/>
      <c r="K47" s="1294">
        <f t="shared" si="10"/>
        <v>3.8190091743119138E-2</v>
      </c>
    </row>
    <row r="48" spans="1:11" x14ac:dyDescent="0.25">
      <c r="A48" s="1298" t="s">
        <v>117</v>
      </c>
      <c r="B48" s="1290">
        <f>'totrpt 1,19'!J220</f>
        <v>814.5</v>
      </c>
      <c r="C48" s="1290">
        <f>'totrpt 1,19'!K220</f>
        <v>995.8</v>
      </c>
      <c r="D48" s="1290">
        <f>'totrpt 1,19'!L220</f>
        <v>861.8</v>
      </c>
      <c r="E48" s="1290"/>
      <c r="F48" s="1294">
        <f t="shared" si="11"/>
        <v>0.22259054634745237</v>
      </c>
      <c r="G48" s="1296">
        <f t="shared" si="12"/>
        <v>7627.0000000000009</v>
      </c>
      <c r="H48" s="1296">
        <f t="shared" si="13"/>
        <v>8068.47</v>
      </c>
      <c r="I48" s="1296">
        <f t="shared" si="14"/>
        <v>8046.8000000000011</v>
      </c>
      <c r="J48" s="1296"/>
      <c r="K48" s="1294">
        <f t="shared" si="10"/>
        <v>5.7882522617018393E-2</v>
      </c>
    </row>
    <row r="49" spans="1:11" x14ac:dyDescent="0.25">
      <c r="A49" s="1298" t="s">
        <v>118</v>
      </c>
      <c r="B49" s="1290">
        <f>'totrpt 1,19'!J221</f>
        <v>660.80000000000007</v>
      </c>
      <c r="C49" s="1290">
        <f>'totrpt 1,19'!K221</f>
        <v>787.2</v>
      </c>
      <c r="D49" s="1290">
        <f>'totrpt 1,19'!L221</f>
        <v>747.03</v>
      </c>
      <c r="E49" s="1290"/>
      <c r="F49" s="1294">
        <f t="shared" si="11"/>
        <v>0.19128329297820817</v>
      </c>
      <c r="G49" s="1296">
        <f t="shared" si="12"/>
        <v>8287.8000000000011</v>
      </c>
      <c r="H49" s="1296">
        <f t="shared" si="13"/>
        <v>8855.67</v>
      </c>
      <c r="I49" s="1296">
        <f t="shared" si="14"/>
        <v>8793.8300000000017</v>
      </c>
      <c r="J49" s="1296"/>
      <c r="K49" s="1294">
        <f t="shared" si="10"/>
        <v>6.8518786650256874E-2</v>
      </c>
    </row>
    <row r="50" spans="1:11" x14ac:dyDescent="0.25">
      <c r="A50" s="1298" t="s">
        <v>119</v>
      </c>
      <c r="B50" s="1290">
        <f>'totrpt 1,19'!J222</f>
        <v>487</v>
      </c>
      <c r="C50" s="1290">
        <f>'totrpt 1,19'!K222</f>
        <v>845.7</v>
      </c>
      <c r="D50" s="1290">
        <f>'totrpt 1,19'!L222</f>
        <v>469.3</v>
      </c>
      <c r="E50" s="1290"/>
      <c r="F50" s="1294">
        <f t="shared" si="11"/>
        <v>0.73655030800821364</v>
      </c>
      <c r="G50" s="1296">
        <f t="shared" si="12"/>
        <v>8774.8000000000011</v>
      </c>
      <c r="H50" s="1296">
        <f t="shared" si="13"/>
        <v>9701.3700000000008</v>
      </c>
      <c r="I50" s="1296">
        <f t="shared" si="14"/>
        <v>9263.130000000001</v>
      </c>
      <c r="J50" s="1296"/>
      <c r="K50" s="1294">
        <f t="shared" si="10"/>
        <v>0.10559442950266668</v>
      </c>
    </row>
    <row r="173" spans="34:34" x14ac:dyDescent="0.25">
      <c r="AH173">
        <v>541.70000000000005</v>
      </c>
    </row>
    <row r="174" spans="34:34" x14ac:dyDescent="0.25">
      <c r="AH174">
        <f>996.6-AG173</f>
        <v>996.6</v>
      </c>
    </row>
  </sheetData>
  <mergeCells count="3">
    <mergeCell ref="A1:K1"/>
    <mergeCell ref="A19:K19"/>
    <mergeCell ref="A37:K37"/>
  </mergeCells>
  <printOptions horizontalCentered="1" verticalCentered="1"/>
  <pageMargins left="0.2" right="0.2" top="0.5" bottom="0.5" header="0.3" footer="0.3"/>
  <pageSetup paperSize="5" scale="67" orientation="landscape" r:id="rId1"/>
  <rowBreaks count="1" manualBreakCount="1">
    <brk id="35" max="22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AH174"/>
  <sheetViews>
    <sheetView zoomScaleNormal="100" workbookViewId="0">
      <selection activeCell="E3" sqref="E3:E5"/>
    </sheetView>
  </sheetViews>
  <sheetFormatPr defaultRowHeight="15.75" x14ac:dyDescent="0.25"/>
  <cols>
    <col min="1" max="1" width="4.625" style="1291" bestFit="1" customWidth="1"/>
    <col min="2" max="5" width="6.125" style="1291" customWidth="1"/>
    <col min="6" max="6" width="7.75" style="1291" bestFit="1" customWidth="1"/>
    <col min="7" max="10" width="7.75" style="1291" customWidth="1"/>
    <col min="11" max="11" width="7.75" style="1291" bestFit="1" customWidth="1"/>
  </cols>
  <sheetData>
    <row r="1" spans="1:22" x14ac:dyDescent="0.25">
      <c r="A1" s="1707" t="s">
        <v>1125</v>
      </c>
      <c r="B1" s="1707"/>
      <c r="C1" s="1707"/>
      <c r="D1" s="1707"/>
      <c r="E1" s="1707"/>
      <c r="F1" s="1707"/>
      <c r="G1" s="1707"/>
      <c r="H1" s="1707"/>
      <c r="I1" s="1707"/>
      <c r="J1" s="1707"/>
      <c r="K1" s="1707"/>
      <c r="L1" s="1286"/>
      <c r="M1" s="1286"/>
      <c r="N1" s="1286"/>
      <c r="O1" s="1286"/>
      <c r="P1" s="1286"/>
      <c r="Q1" s="1286"/>
      <c r="R1" s="1286"/>
      <c r="S1" s="1286"/>
      <c r="T1" s="1286"/>
      <c r="U1" s="1286"/>
      <c r="V1" s="1286"/>
    </row>
    <row r="2" spans="1:22" x14ac:dyDescent="0.25">
      <c r="A2" s="1287"/>
      <c r="B2" s="1292">
        <v>2016</v>
      </c>
      <c r="C2" s="1292">
        <v>2017</v>
      </c>
      <c r="D2" s="1292">
        <v>2018</v>
      </c>
      <c r="E2" s="1292">
        <v>2019</v>
      </c>
      <c r="F2" s="1292" t="s">
        <v>1122</v>
      </c>
      <c r="G2" s="1292" t="s">
        <v>1174</v>
      </c>
      <c r="H2" s="1292" t="s">
        <v>1221</v>
      </c>
      <c r="I2" s="1292" t="s">
        <v>1231</v>
      </c>
      <c r="J2" s="1292" t="s">
        <v>1269</v>
      </c>
      <c r="K2" s="1292" t="s">
        <v>1121</v>
      </c>
      <c r="L2" s="1286"/>
      <c r="M2" s="1286"/>
      <c r="N2" s="1286"/>
      <c r="O2" s="1286"/>
      <c r="P2" s="1286"/>
      <c r="Q2" s="1286"/>
      <c r="R2" s="1286"/>
      <c r="S2" s="1286"/>
      <c r="T2" s="1286"/>
      <c r="U2" s="1286"/>
      <c r="V2" s="1286"/>
    </row>
    <row r="3" spans="1:22" x14ac:dyDescent="0.25">
      <c r="A3" s="1298" t="s">
        <v>108</v>
      </c>
      <c r="B3" s="1289">
        <f>'totrpt 1,19'!Y177</f>
        <v>29.6</v>
      </c>
      <c r="C3" s="1289">
        <f>'totrpt 1,19'!Z177</f>
        <v>37.700000000000003</v>
      </c>
      <c r="D3" s="1289">
        <v>104.9</v>
      </c>
      <c r="E3" s="1289">
        <f>'totrpt 1,19'!AB177</f>
        <v>55.5</v>
      </c>
      <c r="F3" s="1294">
        <f>(C3-B3)/ABS(B3)</f>
        <v>0.27364864864864868</v>
      </c>
      <c r="G3" s="1296">
        <f>B3</f>
        <v>29.6</v>
      </c>
      <c r="H3" s="1296">
        <f>C3</f>
        <v>37.700000000000003</v>
      </c>
      <c r="I3" s="1296">
        <f>D3</f>
        <v>104.9</v>
      </c>
      <c r="J3" s="1296"/>
      <c r="K3" s="1294">
        <f>(H3-G3)/ABS(G3)</f>
        <v>0.27364864864864868</v>
      </c>
      <c r="L3" s="1286"/>
      <c r="M3" s="1286"/>
      <c r="N3" s="1286"/>
      <c r="O3" s="1286"/>
      <c r="P3" s="1286"/>
      <c r="Q3" s="1286"/>
      <c r="R3" s="1286"/>
      <c r="S3" s="1286"/>
      <c r="T3" s="1286"/>
      <c r="U3" s="1286"/>
      <c r="V3" s="1286"/>
    </row>
    <row r="4" spans="1:22" x14ac:dyDescent="0.25">
      <c r="A4" s="1298" t="s">
        <v>109</v>
      </c>
      <c r="B4" s="1289">
        <f>'totrpt 1,19'!Y178</f>
        <v>108.4</v>
      </c>
      <c r="C4" s="1289">
        <f>'totrpt 1,19'!Z178</f>
        <v>40.200000000000003</v>
      </c>
      <c r="D4" s="1289">
        <f>'totrpt 1,19'!AA178</f>
        <v>59.9</v>
      </c>
      <c r="E4" s="1289">
        <f>'totrpt 1,19'!AB178</f>
        <v>41.9</v>
      </c>
      <c r="F4" s="1294">
        <f t="shared" ref="F4:F14" si="0">(C4-B4)/ABS(B4)</f>
        <v>-0.62915129151291516</v>
      </c>
      <c r="G4" s="1296">
        <f t="shared" ref="G4:G14" si="1">G3+B4</f>
        <v>138</v>
      </c>
      <c r="H4" s="1296">
        <f t="shared" ref="H4:H14" si="2">H3+C4</f>
        <v>77.900000000000006</v>
      </c>
      <c r="I4" s="1296">
        <f t="shared" ref="I4:I14" si="3">I3+D4</f>
        <v>164.8</v>
      </c>
      <c r="J4" s="1296"/>
      <c r="K4" s="1294">
        <f t="shared" ref="K4:K14" si="4">(H4-G4)/ABS(G4)</f>
        <v>-0.43550724637681154</v>
      </c>
      <c r="L4" s="1286"/>
      <c r="M4" s="1286"/>
      <c r="N4" s="1286"/>
      <c r="O4" s="1286"/>
      <c r="P4" s="1286"/>
      <c r="Q4" s="1286"/>
      <c r="R4" s="1286"/>
      <c r="S4" s="1286"/>
      <c r="T4" s="1286"/>
      <c r="U4" s="1286"/>
      <c r="V4" s="1286"/>
    </row>
    <row r="5" spans="1:22" x14ac:dyDescent="0.25">
      <c r="A5" s="1298" t="s">
        <v>110</v>
      </c>
      <c r="B5" s="1289">
        <f>'totrpt 1,19'!Y179</f>
        <v>75.099999999999994</v>
      </c>
      <c r="C5" s="1289">
        <f>'totrpt 1,19'!Z179</f>
        <v>98.2</v>
      </c>
      <c r="D5" s="1289">
        <f>'totrpt 1,19'!AA179</f>
        <v>27.7</v>
      </c>
      <c r="E5" s="1289">
        <f>'totrpt 1,19'!AB179</f>
        <v>74.099999999999994</v>
      </c>
      <c r="F5" s="1294">
        <f t="shared" si="0"/>
        <v>0.30758988015978711</v>
      </c>
      <c r="G5" s="1296">
        <f t="shared" si="1"/>
        <v>213.1</v>
      </c>
      <c r="H5" s="1296">
        <f t="shared" si="2"/>
        <v>176.10000000000002</v>
      </c>
      <c r="I5" s="1296">
        <f t="shared" si="3"/>
        <v>192.5</v>
      </c>
      <c r="J5" s="1296"/>
      <c r="K5" s="1294">
        <f t="shared" si="4"/>
        <v>-0.17362740497419038</v>
      </c>
      <c r="L5" s="1286"/>
      <c r="M5" s="1286"/>
      <c r="N5" s="1286"/>
      <c r="O5" s="1286"/>
      <c r="P5" s="1286"/>
      <c r="Q5" s="1286"/>
      <c r="R5" s="1286"/>
      <c r="S5" s="1286"/>
      <c r="T5" s="1286"/>
      <c r="U5" s="1286"/>
      <c r="V5" s="1286"/>
    </row>
    <row r="6" spans="1:22" x14ac:dyDescent="0.25">
      <c r="A6" s="1298" t="s">
        <v>111</v>
      </c>
      <c r="B6" s="1289">
        <f>'totrpt 1,19'!Y180</f>
        <v>137.6</v>
      </c>
      <c r="C6" s="1289">
        <f>'totrpt 1,19'!Z180</f>
        <v>181.9</v>
      </c>
      <c r="D6" s="1289">
        <f>'totrpt 1,19'!AA180</f>
        <v>100</v>
      </c>
      <c r="E6" s="1289"/>
      <c r="F6" s="1294">
        <f t="shared" si="0"/>
        <v>0.32194767441860472</v>
      </c>
      <c r="G6" s="1296">
        <f t="shared" si="1"/>
        <v>350.7</v>
      </c>
      <c r="H6" s="1296">
        <f t="shared" si="2"/>
        <v>358</v>
      </c>
      <c r="I6" s="1296">
        <f t="shared" si="3"/>
        <v>292.5</v>
      </c>
      <c r="J6" s="1296"/>
      <c r="K6" s="1294">
        <f t="shared" si="4"/>
        <v>2.0815511833475939E-2</v>
      </c>
      <c r="L6" s="1286"/>
      <c r="M6" s="1286"/>
      <c r="N6" s="1286"/>
      <c r="O6" s="1286"/>
      <c r="P6" s="1286"/>
      <c r="Q6" s="1286"/>
      <c r="R6" s="1286"/>
      <c r="S6" s="1286"/>
      <c r="T6" s="1286"/>
      <c r="U6" s="1286"/>
      <c r="V6" s="1286"/>
    </row>
    <row r="7" spans="1:22" x14ac:dyDescent="0.25">
      <c r="A7" s="1298" t="s">
        <v>112</v>
      </c>
      <c r="B7" s="1289">
        <f>'totrpt 1,19'!Y181</f>
        <v>174.1</v>
      </c>
      <c r="C7" s="1289">
        <f>'totrpt 1,19'!Z181</f>
        <v>203.5</v>
      </c>
      <c r="D7" s="1289">
        <f>'totrpt 1,19'!AA181</f>
        <v>100.6</v>
      </c>
      <c r="E7" s="1289"/>
      <c r="F7" s="1294">
        <f t="shared" si="0"/>
        <v>0.16886846639862152</v>
      </c>
      <c r="G7" s="1296">
        <f t="shared" si="1"/>
        <v>524.79999999999995</v>
      </c>
      <c r="H7" s="1296">
        <f t="shared" si="2"/>
        <v>561.5</v>
      </c>
      <c r="I7" s="1296">
        <f t="shared" si="3"/>
        <v>393.1</v>
      </c>
      <c r="J7" s="1296"/>
      <c r="K7" s="1294">
        <f t="shared" si="4"/>
        <v>6.9931402439024487E-2</v>
      </c>
      <c r="L7" s="1286"/>
      <c r="M7" s="1286"/>
      <c r="N7" s="1286"/>
      <c r="O7" s="1286"/>
      <c r="P7" s="1286"/>
      <c r="Q7" s="1286"/>
      <c r="R7" s="1286"/>
      <c r="S7" s="1286"/>
      <c r="T7" s="1286"/>
      <c r="U7" s="1286"/>
      <c r="V7" s="1286"/>
    </row>
    <row r="8" spans="1:22" x14ac:dyDescent="0.25">
      <c r="A8" s="1298" t="s">
        <v>113</v>
      </c>
      <c r="B8" s="1289">
        <f>'totrpt 1,19'!Y182</f>
        <v>203.7</v>
      </c>
      <c r="C8" s="1289">
        <f>'totrpt 1,19'!Z182</f>
        <v>195.8</v>
      </c>
      <c r="D8" s="1289">
        <f>'totrpt 1,19'!AA182</f>
        <v>113.1</v>
      </c>
      <c r="E8" s="1289"/>
      <c r="F8" s="1294">
        <f t="shared" si="0"/>
        <v>-3.8782523318605683E-2</v>
      </c>
      <c r="G8" s="1296">
        <f t="shared" si="1"/>
        <v>728.5</v>
      </c>
      <c r="H8" s="1296">
        <f t="shared" si="2"/>
        <v>757.3</v>
      </c>
      <c r="I8" s="1296">
        <f t="shared" si="3"/>
        <v>506.20000000000005</v>
      </c>
      <c r="J8" s="1296"/>
      <c r="K8" s="1294">
        <f t="shared" si="4"/>
        <v>3.9533287577213388E-2</v>
      </c>
      <c r="L8" s="1286"/>
      <c r="M8" s="1286"/>
      <c r="N8" s="1286"/>
      <c r="O8" s="1286"/>
      <c r="P8" s="1286"/>
      <c r="Q8" s="1286"/>
      <c r="R8" s="1286"/>
      <c r="S8" s="1286"/>
      <c r="T8" s="1286"/>
      <c r="U8" s="1286"/>
      <c r="V8" s="1286"/>
    </row>
    <row r="9" spans="1:22" x14ac:dyDescent="0.25">
      <c r="A9" s="1298" t="s">
        <v>114</v>
      </c>
      <c r="B9" s="1289">
        <f>'totrpt 1,19'!Y183</f>
        <v>226.1</v>
      </c>
      <c r="C9" s="1289">
        <f>'totrpt 1,19'!Z183</f>
        <v>195.4</v>
      </c>
      <c r="D9" s="1289">
        <f>'totrpt 1,19'!AA183</f>
        <v>183.8</v>
      </c>
      <c r="E9" s="1289"/>
      <c r="F9" s="1294">
        <f t="shared" si="0"/>
        <v>-0.13578062804068991</v>
      </c>
      <c r="G9" s="1296">
        <f t="shared" si="1"/>
        <v>954.6</v>
      </c>
      <c r="H9" s="1296">
        <f t="shared" si="2"/>
        <v>952.69999999999993</v>
      </c>
      <c r="I9" s="1296">
        <f t="shared" si="3"/>
        <v>690</v>
      </c>
      <c r="J9" s="1296"/>
      <c r="K9" s="1294">
        <f t="shared" si="4"/>
        <v>-1.9903624554788299E-3</v>
      </c>
      <c r="L9" s="1286"/>
      <c r="M9" s="1286"/>
      <c r="N9" s="1286"/>
      <c r="O9" s="1286"/>
      <c r="P9" s="1286"/>
      <c r="Q9" s="1286"/>
      <c r="R9" s="1286"/>
      <c r="S9" s="1286"/>
      <c r="T9" s="1286"/>
      <c r="U9" s="1286"/>
      <c r="V9" s="1286"/>
    </row>
    <row r="10" spans="1:22" x14ac:dyDescent="0.25">
      <c r="A10" s="1298" t="s">
        <v>115</v>
      </c>
      <c r="B10" s="1289">
        <v>190.4</v>
      </c>
      <c r="C10" s="1289">
        <f>'totrpt 1,19'!Z184</f>
        <v>216.7</v>
      </c>
      <c r="D10" s="1289">
        <f>'totrpt 1,19'!AA184</f>
        <v>213.8</v>
      </c>
      <c r="E10" s="1289"/>
      <c r="F10" s="1294">
        <f t="shared" si="0"/>
        <v>0.13813025210084023</v>
      </c>
      <c r="G10" s="1296">
        <f t="shared" si="1"/>
        <v>1145</v>
      </c>
      <c r="H10" s="1296">
        <f t="shared" si="2"/>
        <v>1169.3999999999999</v>
      </c>
      <c r="I10" s="1296">
        <f t="shared" si="3"/>
        <v>903.8</v>
      </c>
      <c r="J10" s="1296"/>
      <c r="K10" s="1294">
        <f t="shared" si="4"/>
        <v>2.1310043668122152E-2</v>
      </c>
      <c r="L10" s="1286"/>
      <c r="M10" s="1286"/>
      <c r="N10" s="1286"/>
      <c r="O10" s="1286"/>
      <c r="P10" s="1286"/>
      <c r="Q10" s="1286"/>
      <c r="R10" s="1286"/>
      <c r="S10" s="1286"/>
      <c r="T10" s="1286"/>
      <c r="U10" s="1286"/>
      <c r="V10" s="1286"/>
    </row>
    <row r="11" spans="1:22" x14ac:dyDescent="0.25">
      <c r="A11" s="1298" t="s">
        <v>116</v>
      </c>
      <c r="B11" s="1289">
        <v>203.4</v>
      </c>
      <c r="C11" s="1289">
        <f>'totrpt 1,19'!Z185</f>
        <v>209.9</v>
      </c>
      <c r="D11" s="1289">
        <f>'totrpt 1,19'!AA185</f>
        <v>195.4</v>
      </c>
      <c r="E11" s="1289"/>
      <c r="F11" s="1294">
        <f t="shared" si="0"/>
        <v>3.1956735496558503E-2</v>
      </c>
      <c r="G11" s="1296">
        <f t="shared" si="1"/>
        <v>1348.4</v>
      </c>
      <c r="H11" s="1296">
        <f t="shared" si="2"/>
        <v>1379.3</v>
      </c>
      <c r="I11" s="1296">
        <f t="shared" si="3"/>
        <v>1099.2</v>
      </c>
      <c r="J11" s="1296"/>
      <c r="K11" s="1294">
        <f t="shared" si="4"/>
        <v>2.2916048650252048E-2</v>
      </c>
      <c r="L11" s="1286"/>
      <c r="M11" s="1286"/>
      <c r="N11" s="1286"/>
      <c r="O11" s="1286"/>
      <c r="P11" s="1286"/>
      <c r="Q11" s="1286"/>
      <c r="R11" s="1286"/>
      <c r="S11" s="1286"/>
      <c r="T11" s="1286"/>
      <c r="U11" s="1286"/>
      <c r="V11" s="1286"/>
    </row>
    <row r="12" spans="1:22" x14ac:dyDescent="0.25">
      <c r="A12" s="1298" t="s">
        <v>117</v>
      </c>
      <c r="B12" s="1289">
        <v>177.6</v>
      </c>
      <c r="C12" s="1289">
        <f>'totrpt 1,19'!Z186</f>
        <v>208.4</v>
      </c>
      <c r="D12" s="1289">
        <f>'totrpt 1,19'!AA186</f>
        <v>209.4</v>
      </c>
      <c r="E12" s="1289"/>
      <c r="F12" s="1294">
        <f t="shared" si="0"/>
        <v>0.17342342342342348</v>
      </c>
      <c r="G12" s="1296">
        <f t="shared" si="1"/>
        <v>1526</v>
      </c>
      <c r="H12" s="1296">
        <f t="shared" si="2"/>
        <v>1587.7</v>
      </c>
      <c r="I12" s="1296">
        <f t="shared" si="3"/>
        <v>1308.6000000000001</v>
      </c>
      <c r="J12" s="1296"/>
      <c r="K12" s="1294">
        <f t="shared" si="4"/>
        <v>4.0432503276540001E-2</v>
      </c>
      <c r="L12" s="1286"/>
      <c r="M12" s="1286"/>
      <c r="N12" s="1286"/>
      <c r="O12" s="1286"/>
      <c r="P12" s="1286"/>
      <c r="Q12" s="1286"/>
      <c r="R12" s="1286"/>
      <c r="S12" s="1286"/>
      <c r="T12" s="1286"/>
      <c r="U12" s="1286"/>
      <c r="V12" s="1286"/>
    </row>
    <row r="13" spans="1:22" x14ac:dyDescent="0.25">
      <c r="A13" s="1298" t="s">
        <v>118</v>
      </c>
      <c r="B13" s="1289">
        <v>142</v>
      </c>
      <c r="C13" s="1289">
        <f>'totrpt 1,19'!Z187</f>
        <v>170.5</v>
      </c>
      <c r="D13" s="1289">
        <f>'totrpt 1,19'!AA187</f>
        <v>175.58</v>
      </c>
      <c r="E13" s="1289"/>
      <c r="F13" s="1294">
        <f t="shared" si="0"/>
        <v>0.20070422535211269</v>
      </c>
      <c r="G13" s="1296">
        <f t="shared" si="1"/>
        <v>1668</v>
      </c>
      <c r="H13" s="1296">
        <f t="shared" si="2"/>
        <v>1758.2</v>
      </c>
      <c r="I13" s="1296">
        <f t="shared" si="3"/>
        <v>1484.18</v>
      </c>
      <c r="J13" s="1296"/>
      <c r="K13" s="1294">
        <f t="shared" si="4"/>
        <v>5.4076738609112739E-2</v>
      </c>
      <c r="L13" s="1286"/>
      <c r="M13" s="1286"/>
      <c r="N13" s="1286"/>
      <c r="O13" s="1286"/>
      <c r="P13" s="1286"/>
      <c r="Q13" s="1286"/>
      <c r="R13" s="1286"/>
      <c r="S13" s="1286"/>
      <c r="T13" s="1286"/>
      <c r="U13" s="1286"/>
      <c r="V13" s="1286"/>
    </row>
    <row r="14" spans="1:22" x14ac:dyDescent="0.25">
      <c r="A14" s="1298" t="s">
        <v>119</v>
      </c>
      <c r="B14" s="1289">
        <v>94.5</v>
      </c>
      <c r="C14" s="1289">
        <f>'totrpt 1,19'!Z188</f>
        <v>84.4</v>
      </c>
      <c r="D14" s="1289">
        <f>'totrpt 1,19'!AA188</f>
        <v>90.1</v>
      </c>
      <c r="E14" s="1289"/>
      <c r="F14" s="1294">
        <f t="shared" si="0"/>
        <v>-0.10687830687830682</v>
      </c>
      <c r="G14" s="1296">
        <f t="shared" si="1"/>
        <v>1762.5</v>
      </c>
      <c r="H14" s="1296">
        <f t="shared" si="2"/>
        <v>1842.6000000000001</v>
      </c>
      <c r="I14" s="1296">
        <f t="shared" si="3"/>
        <v>1574.28</v>
      </c>
      <c r="J14" s="1296"/>
      <c r="K14" s="1294">
        <f t="shared" si="4"/>
        <v>4.5446808510638377E-2</v>
      </c>
      <c r="L14" s="1286"/>
      <c r="M14" s="1286"/>
      <c r="N14" s="1286"/>
      <c r="O14" s="1286"/>
      <c r="P14" s="1286"/>
      <c r="Q14" s="1286"/>
      <c r="R14" s="1286"/>
      <c r="S14" s="1286"/>
      <c r="T14" s="1286"/>
      <c r="U14" s="1286"/>
      <c r="V14" s="1286"/>
    </row>
    <row r="15" spans="1:22" x14ac:dyDescent="0.25">
      <c r="A15" s="1298"/>
      <c r="B15" s="1287"/>
      <c r="C15" s="1287"/>
      <c r="D15" s="1287"/>
      <c r="E15" s="1287"/>
      <c r="F15" s="1295"/>
      <c r="G15" s="1295"/>
      <c r="H15" s="1295"/>
      <c r="I15" s="1295"/>
      <c r="J15" s="1295"/>
      <c r="K15" s="1295"/>
      <c r="L15" s="1286"/>
      <c r="M15" s="1286"/>
      <c r="N15" s="1286"/>
      <c r="O15" s="1286"/>
      <c r="P15" s="1286"/>
      <c r="Q15" s="1286"/>
      <c r="R15" s="1286"/>
      <c r="S15" s="1286"/>
      <c r="T15" s="1286"/>
      <c r="U15" s="1286"/>
      <c r="V15" s="1286"/>
    </row>
    <row r="16" spans="1:22" x14ac:dyDescent="0.25">
      <c r="A16" s="1298"/>
      <c r="B16" s="1287"/>
      <c r="C16" s="1287"/>
      <c r="D16" s="1287"/>
      <c r="E16" s="1287"/>
      <c r="F16" s="1295"/>
      <c r="G16" s="1295"/>
      <c r="H16" s="1295"/>
      <c r="I16" s="1295"/>
      <c r="J16" s="1295"/>
      <c r="K16" s="1295"/>
      <c r="L16" s="1286"/>
      <c r="M16" s="1286"/>
      <c r="N16" s="1286"/>
      <c r="O16" s="1286"/>
      <c r="P16" s="1286"/>
      <c r="Q16" s="1286"/>
      <c r="R16" s="1286"/>
      <c r="S16" s="1286"/>
      <c r="T16" s="1286"/>
      <c r="U16" s="1286"/>
      <c r="V16" s="1286"/>
    </row>
    <row r="17" spans="1:22" x14ac:dyDescent="0.25">
      <c r="A17" s="1298"/>
      <c r="B17" s="1287"/>
      <c r="C17" s="1287"/>
      <c r="D17" s="1287"/>
      <c r="E17" s="1287"/>
      <c r="F17" s="1295"/>
      <c r="G17" s="1295"/>
      <c r="H17" s="1295"/>
      <c r="I17" s="1295"/>
      <c r="J17" s="1295"/>
      <c r="K17" s="1295"/>
      <c r="L17" s="1286"/>
      <c r="M17" s="1286"/>
      <c r="N17" s="1286"/>
      <c r="O17" s="1286"/>
      <c r="P17" s="1286"/>
      <c r="Q17" s="1286"/>
      <c r="R17" s="1286"/>
      <c r="S17" s="1286"/>
      <c r="T17" s="1286"/>
      <c r="U17" s="1286"/>
      <c r="V17" s="1286"/>
    </row>
    <row r="18" spans="1:22" x14ac:dyDescent="0.25">
      <c r="B18" s="1287"/>
      <c r="C18" s="1287"/>
      <c r="D18" s="1287"/>
      <c r="E18" s="1287"/>
      <c r="F18" s="1287"/>
      <c r="G18" s="1287"/>
      <c r="H18" s="1287"/>
      <c r="I18" s="1287"/>
      <c r="J18" s="1287"/>
      <c r="K18" s="1287"/>
      <c r="L18" s="1286"/>
      <c r="M18" s="1286"/>
      <c r="N18" s="1286"/>
      <c r="O18" s="1286"/>
      <c r="P18" s="1286"/>
      <c r="Q18" s="1286"/>
      <c r="R18" s="1286"/>
      <c r="S18" s="1286"/>
      <c r="T18" s="1286"/>
      <c r="U18" s="1286"/>
      <c r="V18" s="1286"/>
    </row>
    <row r="19" spans="1:22" x14ac:dyDescent="0.25">
      <c r="A19" s="1707" t="s">
        <v>1124</v>
      </c>
      <c r="B19" s="1707"/>
      <c r="C19" s="1707"/>
      <c r="D19" s="1707"/>
      <c r="E19" s="1707"/>
      <c r="F19" s="1707"/>
      <c r="G19" s="1707"/>
      <c r="H19" s="1707"/>
      <c r="I19" s="1707"/>
      <c r="J19" s="1707"/>
      <c r="K19" s="1707"/>
      <c r="L19" s="1286"/>
      <c r="M19" s="1286"/>
      <c r="N19" s="1286"/>
      <c r="O19" s="1433">
        <v>69</v>
      </c>
      <c r="P19" s="1286"/>
      <c r="Q19" s="1286"/>
      <c r="R19" s="1286"/>
      <c r="S19" s="1286"/>
      <c r="T19" s="1286"/>
      <c r="U19" s="1286"/>
      <c r="V19" s="1286"/>
    </row>
    <row r="20" spans="1:22" x14ac:dyDescent="0.25">
      <c r="A20" s="1288"/>
      <c r="B20" s="1292">
        <v>2016</v>
      </c>
      <c r="C20" s="1292">
        <v>2017</v>
      </c>
      <c r="D20" s="1292">
        <v>2018</v>
      </c>
      <c r="E20" s="1292">
        <v>2019</v>
      </c>
      <c r="F20" s="1292" t="s">
        <v>1122</v>
      </c>
      <c r="G20" s="1292" t="s">
        <v>1174</v>
      </c>
      <c r="H20" s="1292" t="s">
        <v>1221</v>
      </c>
      <c r="I20" s="1292" t="s">
        <v>1231</v>
      </c>
      <c r="J20" s="1292" t="s">
        <v>1269</v>
      </c>
      <c r="K20" s="1292" t="s">
        <v>1121</v>
      </c>
      <c r="L20" s="1287"/>
      <c r="M20" s="1286"/>
      <c r="N20" s="1286"/>
      <c r="O20" s="1286"/>
      <c r="P20" s="1286"/>
      <c r="Q20" s="1286"/>
      <c r="R20" s="1286"/>
      <c r="S20" s="1286"/>
      <c r="T20" s="1286"/>
      <c r="U20" s="1286"/>
      <c r="V20" s="1286"/>
    </row>
    <row r="21" spans="1:22" x14ac:dyDescent="0.25">
      <c r="A21" s="1298" t="s">
        <v>108</v>
      </c>
      <c r="B21" s="1290">
        <f>'totrpt 1,19'!Y194</f>
        <v>28.5</v>
      </c>
      <c r="C21" s="1290">
        <f>'totrpt 1,19'!Z194</f>
        <v>0</v>
      </c>
      <c r="D21" s="1290">
        <v>37.799999999999997</v>
      </c>
      <c r="E21" s="1290">
        <f>'totrpt 1,19'!AB194</f>
        <v>21.2</v>
      </c>
      <c r="F21" s="1294">
        <f>(C21-B21)/ABS(B21)</f>
        <v>-1</v>
      </c>
      <c r="G21" s="1296">
        <f>B21</f>
        <v>28.5</v>
      </c>
      <c r="H21" s="1296">
        <f>C21</f>
        <v>0</v>
      </c>
      <c r="I21" s="1296">
        <f>D21</f>
        <v>37.799999999999997</v>
      </c>
      <c r="J21" s="1296"/>
      <c r="K21" s="1294">
        <f>(H21-G21)/ABS(G21)</f>
        <v>-1</v>
      </c>
      <c r="L21" s="1287"/>
      <c r="M21" s="1286"/>
      <c r="N21" s="1286"/>
      <c r="O21" s="1286"/>
      <c r="P21" s="1286"/>
      <c r="Q21" s="1286"/>
      <c r="R21" s="1286"/>
      <c r="S21" s="1286"/>
      <c r="T21" s="1286"/>
      <c r="U21" s="1286"/>
      <c r="V21" s="1286"/>
    </row>
    <row r="22" spans="1:22" x14ac:dyDescent="0.25">
      <c r="A22" s="1298" t="s">
        <v>109</v>
      </c>
      <c r="B22" s="1289">
        <f>'totrpt 1,19'!Y195</f>
        <v>8</v>
      </c>
      <c r="C22" s="1290">
        <f>'totrpt 1,19'!Z195</f>
        <v>0</v>
      </c>
      <c r="D22" s="1290">
        <f>'totrpt 1,19'!AA195</f>
        <v>116.7</v>
      </c>
      <c r="E22" s="1290">
        <f>'totrpt 1,19'!AB195</f>
        <v>13.6</v>
      </c>
      <c r="F22" s="1294">
        <f t="shared" ref="F22:F32" si="5">(C22-B22)/ABS(B22)</f>
        <v>-1</v>
      </c>
      <c r="G22" s="1296">
        <f t="shared" ref="G22:G32" si="6">G21+B22</f>
        <v>36.5</v>
      </c>
      <c r="H22" s="1296">
        <f t="shared" ref="H22:H32" si="7">H21+C22</f>
        <v>0</v>
      </c>
      <c r="I22" s="1296">
        <f t="shared" ref="I22:I32" si="8">I21+D22</f>
        <v>154.5</v>
      </c>
      <c r="J22" s="1296"/>
      <c r="K22" s="1294">
        <f t="shared" ref="K22:K32" si="9">(H22-G22)/ABS(G22)</f>
        <v>-1</v>
      </c>
      <c r="L22" s="1291"/>
    </row>
    <row r="23" spans="1:22" x14ac:dyDescent="0.25">
      <c r="A23" s="1298" t="s">
        <v>110</v>
      </c>
      <c r="B23" s="1290">
        <f>'totrpt 1,19'!Y196</f>
        <v>22.1</v>
      </c>
      <c r="C23" s="1290">
        <f>'totrpt 1,19'!Z196</f>
        <v>0</v>
      </c>
      <c r="D23" s="1290">
        <f>'totrpt 1,19'!AA196</f>
        <v>45.6</v>
      </c>
      <c r="E23" s="1290">
        <f>'totrpt 1,19'!AB196</f>
        <v>18.399999999999999</v>
      </c>
      <c r="F23" s="1294">
        <f t="shared" si="5"/>
        <v>-1</v>
      </c>
      <c r="G23" s="1296">
        <f t="shared" si="6"/>
        <v>58.6</v>
      </c>
      <c r="H23" s="1296">
        <f t="shared" si="7"/>
        <v>0</v>
      </c>
      <c r="I23" s="1296">
        <f t="shared" si="8"/>
        <v>200.1</v>
      </c>
      <c r="J23" s="1296"/>
      <c r="K23" s="1294">
        <f t="shared" si="9"/>
        <v>-1</v>
      </c>
      <c r="L23" s="1291"/>
    </row>
    <row r="24" spans="1:22" x14ac:dyDescent="0.25">
      <c r="A24" s="1298" t="s">
        <v>111</v>
      </c>
      <c r="B24" s="1290">
        <f>'totrpt 1,19'!Y197</f>
        <v>10.199999999999999</v>
      </c>
      <c r="C24" s="1290">
        <f>'totrpt 1,19'!Z197</f>
        <v>0</v>
      </c>
      <c r="D24" s="1290">
        <f>'totrpt 1,19'!AA197</f>
        <v>83.9</v>
      </c>
      <c r="E24" s="1290"/>
      <c r="F24" s="1294">
        <f t="shared" si="5"/>
        <v>-1</v>
      </c>
      <c r="G24" s="1296">
        <f t="shared" si="6"/>
        <v>68.8</v>
      </c>
      <c r="H24" s="1296">
        <f t="shared" si="7"/>
        <v>0</v>
      </c>
      <c r="I24" s="1296">
        <f t="shared" si="8"/>
        <v>284</v>
      </c>
      <c r="J24" s="1296"/>
      <c r="K24" s="1294">
        <f t="shared" si="9"/>
        <v>-1</v>
      </c>
      <c r="L24" s="1291"/>
    </row>
    <row r="25" spans="1:22" x14ac:dyDescent="0.25">
      <c r="A25" s="1298" t="s">
        <v>112</v>
      </c>
      <c r="B25" s="1290">
        <f>'totrpt 1,19'!Y198</f>
        <v>2.1</v>
      </c>
      <c r="C25" s="1290">
        <f>'totrpt 1,19'!Z198</f>
        <v>0</v>
      </c>
      <c r="D25" s="1290">
        <f>'totrpt 1,19'!AA198</f>
        <v>113.9</v>
      </c>
      <c r="E25" s="1290"/>
      <c r="F25" s="1294">
        <f t="shared" si="5"/>
        <v>-1</v>
      </c>
      <c r="G25" s="1296">
        <f t="shared" si="6"/>
        <v>70.899999999999991</v>
      </c>
      <c r="H25" s="1296">
        <f t="shared" si="7"/>
        <v>0</v>
      </c>
      <c r="I25" s="1296">
        <f t="shared" si="8"/>
        <v>397.9</v>
      </c>
      <c r="J25" s="1296"/>
      <c r="K25" s="1294">
        <f t="shared" si="9"/>
        <v>-1</v>
      </c>
      <c r="L25" s="1291"/>
    </row>
    <row r="26" spans="1:22" x14ac:dyDescent="0.25">
      <c r="A26" s="1298" t="s">
        <v>113</v>
      </c>
      <c r="B26" s="1290">
        <f>'totrpt 1,19'!Y199</f>
        <v>8.9</v>
      </c>
      <c r="C26" s="1290">
        <f>'totrpt 1,19'!Z199</f>
        <v>51.1</v>
      </c>
      <c r="D26" s="1290">
        <f>'totrpt 1,19'!AA199</f>
        <v>134.1</v>
      </c>
      <c r="E26" s="1290"/>
      <c r="F26" s="1294">
        <f t="shared" si="5"/>
        <v>4.7415730337078656</v>
      </c>
      <c r="G26" s="1296">
        <f t="shared" si="6"/>
        <v>79.8</v>
      </c>
      <c r="H26" s="1296">
        <f t="shared" si="7"/>
        <v>51.1</v>
      </c>
      <c r="I26" s="1296">
        <f t="shared" si="8"/>
        <v>532</v>
      </c>
      <c r="J26" s="1296"/>
      <c r="K26" s="1294">
        <f t="shared" si="9"/>
        <v>-0.3596491228070175</v>
      </c>
      <c r="L26" s="1291"/>
    </row>
    <row r="27" spans="1:22" x14ac:dyDescent="0.25">
      <c r="A27" s="1298" t="s">
        <v>114</v>
      </c>
      <c r="B27" s="1290">
        <f>'totrpt 1,19'!Y200</f>
        <v>26.3</v>
      </c>
      <c r="C27" s="1290">
        <f>'totrpt 1,19'!Z200</f>
        <v>58.9</v>
      </c>
      <c r="D27" s="1290">
        <f>'totrpt 1,19'!AA200</f>
        <v>133.1</v>
      </c>
      <c r="E27" s="1290"/>
      <c r="F27" s="1294">
        <f t="shared" si="5"/>
        <v>1.2395437262357412</v>
      </c>
      <c r="G27" s="1296">
        <f t="shared" si="6"/>
        <v>106.1</v>
      </c>
      <c r="H27" s="1296">
        <f t="shared" si="7"/>
        <v>110</v>
      </c>
      <c r="I27" s="1296">
        <f t="shared" si="8"/>
        <v>665.1</v>
      </c>
      <c r="J27" s="1296"/>
      <c r="K27" s="1294">
        <f t="shared" si="9"/>
        <v>3.675777568331768E-2</v>
      </c>
      <c r="L27" s="1291"/>
    </row>
    <row r="28" spans="1:22" x14ac:dyDescent="0.25">
      <c r="A28" s="1298" t="s">
        <v>115</v>
      </c>
      <c r="B28" s="1290">
        <f>'totrpt 1,19'!Y201</f>
        <v>65.599999999999994</v>
      </c>
      <c r="C28" s="1290">
        <f>'totrpt 1,19'!Z201</f>
        <v>51.8</v>
      </c>
      <c r="D28" s="1290">
        <f>'totrpt 1,19'!AA201</f>
        <v>107.5</v>
      </c>
      <c r="E28" s="1290"/>
      <c r="F28" s="1294">
        <f t="shared" si="5"/>
        <v>-0.21036585365853655</v>
      </c>
      <c r="G28" s="1296">
        <f t="shared" si="6"/>
        <v>171.7</v>
      </c>
      <c r="H28" s="1296">
        <f t="shared" si="7"/>
        <v>161.80000000000001</v>
      </c>
      <c r="I28" s="1296">
        <f t="shared" si="8"/>
        <v>772.6</v>
      </c>
      <c r="J28" s="1296"/>
      <c r="K28" s="1294">
        <f t="shared" si="9"/>
        <v>-5.7658707047175177E-2</v>
      </c>
      <c r="L28" s="1291"/>
    </row>
    <row r="29" spans="1:22" x14ac:dyDescent="0.25">
      <c r="A29" s="1298" t="s">
        <v>116</v>
      </c>
      <c r="B29" s="1290">
        <f>'totrpt 1,19'!Y202</f>
        <v>44.8</v>
      </c>
      <c r="C29" s="1290">
        <f>'totrpt 1,19'!Z202</f>
        <v>38.1</v>
      </c>
      <c r="D29" s="1290">
        <f>'totrpt 1,19'!AA202</f>
        <v>64.3</v>
      </c>
      <c r="E29" s="1290"/>
      <c r="F29" s="1294">
        <f t="shared" si="5"/>
        <v>-0.14955357142857134</v>
      </c>
      <c r="G29" s="1296">
        <f t="shared" si="6"/>
        <v>216.5</v>
      </c>
      <c r="H29" s="1296">
        <f t="shared" si="7"/>
        <v>199.9</v>
      </c>
      <c r="I29" s="1296">
        <f t="shared" si="8"/>
        <v>836.9</v>
      </c>
      <c r="J29" s="1296"/>
      <c r="K29" s="1294">
        <f t="shared" si="9"/>
        <v>-7.6674364896073877E-2</v>
      </c>
      <c r="L29" s="1291"/>
    </row>
    <row r="30" spans="1:22" x14ac:dyDescent="0.25">
      <c r="A30" s="1298" t="s">
        <v>117</v>
      </c>
      <c r="B30" s="1290">
        <f>'totrpt 1,19'!Y203</f>
        <v>34.9</v>
      </c>
      <c r="C30" s="1290">
        <f>'totrpt 1,19'!Z203</f>
        <v>45.8</v>
      </c>
      <c r="D30" s="1290">
        <f>'totrpt 1,19'!AA203</f>
        <v>39.200000000000003</v>
      </c>
      <c r="E30" s="1290"/>
      <c r="F30" s="1294">
        <f t="shared" si="5"/>
        <v>0.31232091690544411</v>
      </c>
      <c r="G30" s="1296">
        <f t="shared" si="6"/>
        <v>251.4</v>
      </c>
      <c r="H30" s="1296">
        <f t="shared" si="7"/>
        <v>245.7</v>
      </c>
      <c r="I30" s="1296">
        <f t="shared" si="8"/>
        <v>876.1</v>
      </c>
      <c r="J30" s="1296"/>
      <c r="K30" s="1294">
        <f t="shared" si="9"/>
        <v>-2.2673031026253052E-2</v>
      </c>
      <c r="L30" s="1291"/>
    </row>
    <row r="31" spans="1:22" x14ac:dyDescent="0.25">
      <c r="A31" s="1298" t="s">
        <v>118</v>
      </c>
      <c r="B31" s="1290">
        <f>'totrpt 1,19'!Y204</f>
        <v>0.6</v>
      </c>
      <c r="C31" s="1290">
        <f>'totrpt 1,19'!Z204</f>
        <v>25.6</v>
      </c>
      <c r="D31" s="1290">
        <f>'totrpt 1,19'!AA204</f>
        <v>19.2</v>
      </c>
      <c r="E31" s="1290"/>
      <c r="F31" s="1294">
        <f t="shared" si="5"/>
        <v>41.666666666666671</v>
      </c>
      <c r="G31" s="1296">
        <f t="shared" si="6"/>
        <v>252</v>
      </c>
      <c r="H31" s="1296">
        <f t="shared" si="7"/>
        <v>271.3</v>
      </c>
      <c r="I31" s="1296">
        <f t="shared" si="8"/>
        <v>895.30000000000007</v>
      </c>
      <c r="J31" s="1296"/>
      <c r="K31" s="1294">
        <f t="shared" si="9"/>
        <v>7.6587301587301634E-2</v>
      </c>
      <c r="L31" s="1291"/>
    </row>
    <row r="32" spans="1:22" x14ac:dyDescent="0.25">
      <c r="A32" s="1298" t="s">
        <v>119</v>
      </c>
      <c r="B32" s="1290">
        <f>'totrpt 1,19'!Y205</f>
        <v>0</v>
      </c>
      <c r="C32" s="1290">
        <f>'totrpt 1,19'!Z205</f>
        <v>147.19999999999999</v>
      </c>
      <c r="D32" s="1290">
        <f>'totrpt 1,19'!AA205</f>
        <v>10.199999999999999</v>
      </c>
      <c r="E32" s="1290"/>
      <c r="F32" s="1294" t="e">
        <f t="shared" si="5"/>
        <v>#DIV/0!</v>
      </c>
      <c r="G32" s="1296">
        <f t="shared" si="6"/>
        <v>252</v>
      </c>
      <c r="H32" s="1296">
        <f t="shared" si="7"/>
        <v>418.5</v>
      </c>
      <c r="I32" s="1296">
        <f t="shared" si="8"/>
        <v>905.50000000000011</v>
      </c>
      <c r="J32" s="1296"/>
      <c r="K32" s="1294">
        <f t="shared" si="9"/>
        <v>0.6607142857142857</v>
      </c>
      <c r="L32" s="1291"/>
    </row>
    <row r="33" spans="1:11" x14ac:dyDescent="0.25">
      <c r="A33" s="1288"/>
      <c r="B33" s="1288"/>
      <c r="C33" s="1288"/>
      <c r="D33" s="1288"/>
      <c r="E33" s="1288"/>
      <c r="F33" s="1288"/>
      <c r="G33" s="1288"/>
      <c r="H33" s="1288"/>
      <c r="I33" s="1288"/>
      <c r="J33" s="1288"/>
      <c r="K33" s="1288"/>
    </row>
    <row r="34" spans="1:11" x14ac:dyDescent="0.25">
      <c r="A34" s="1288"/>
      <c r="B34" s="1288"/>
      <c r="C34" s="1288"/>
      <c r="D34" s="1288"/>
      <c r="E34" s="1288"/>
      <c r="F34" s="1288"/>
      <c r="G34" s="1288"/>
      <c r="H34" s="1288"/>
      <c r="I34" s="1288"/>
      <c r="J34" s="1288"/>
      <c r="K34" s="1288"/>
    </row>
    <row r="37" spans="1:11" x14ac:dyDescent="0.25">
      <c r="A37" s="1707" t="s">
        <v>1123</v>
      </c>
      <c r="B37" s="1707"/>
      <c r="C37" s="1707"/>
      <c r="D37" s="1707"/>
      <c r="E37" s="1707"/>
      <c r="F37" s="1707"/>
      <c r="G37" s="1707"/>
      <c r="H37" s="1707"/>
      <c r="I37" s="1707"/>
      <c r="J37" s="1707"/>
      <c r="K37" s="1707"/>
    </row>
    <row r="38" spans="1:11" x14ac:dyDescent="0.25">
      <c r="A38" s="1287"/>
      <c r="B38" s="1292">
        <v>2016</v>
      </c>
      <c r="C38" s="1292">
        <v>2017</v>
      </c>
      <c r="D38" s="1292">
        <v>2018</v>
      </c>
      <c r="E38" s="1292">
        <v>2019</v>
      </c>
      <c r="F38" s="1292" t="s">
        <v>1122</v>
      </c>
      <c r="G38" s="1292" t="s">
        <v>1174</v>
      </c>
      <c r="H38" s="1292" t="s">
        <v>1221</v>
      </c>
      <c r="I38" s="1292" t="s">
        <v>1231</v>
      </c>
      <c r="J38" s="1292" t="s">
        <v>1269</v>
      </c>
      <c r="K38" s="1292" t="s">
        <v>1121</v>
      </c>
    </row>
    <row r="39" spans="1:11" x14ac:dyDescent="0.25">
      <c r="A39" s="1298" t="s">
        <v>108</v>
      </c>
      <c r="B39" s="1290">
        <f>'totrpt 1,19'!Y211</f>
        <v>58.1</v>
      </c>
      <c r="C39" s="1290">
        <f>'totrpt 1,19'!Z211</f>
        <v>37.700000000000003</v>
      </c>
      <c r="D39" s="1290">
        <v>142.69999999999999</v>
      </c>
      <c r="E39" s="1290">
        <f>'totrpt 1,19'!AB211</f>
        <v>76.7</v>
      </c>
      <c r="F39" s="1294">
        <f>(C39-B39)/ABS(B39)</f>
        <v>-0.35111876075731496</v>
      </c>
      <c r="G39" s="1296">
        <f>B39</f>
        <v>58.1</v>
      </c>
      <c r="H39" s="1296">
        <f>C39</f>
        <v>37.700000000000003</v>
      </c>
      <c r="I39" s="1296">
        <f>D39</f>
        <v>142.69999999999999</v>
      </c>
      <c r="J39" s="1296"/>
      <c r="K39" s="1294">
        <f>(H39-G39)/ABS(G39)</f>
        <v>-0.35111876075731496</v>
      </c>
    </row>
    <row r="40" spans="1:11" x14ac:dyDescent="0.25">
      <c r="A40" s="1298" t="s">
        <v>109</v>
      </c>
      <c r="B40" s="1290">
        <f>'totrpt 1,19'!Y212</f>
        <v>116.4</v>
      </c>
      <c r="C40" s="1290">
        <f>'totrpt 1,19'!Z212</f>
        <v>40.200000000000003</v>
      </c>
      <c r="D40" s="1290">
        <f>'totrpt 1,19'!AA212</f>
        <v>176.6</v>
      </c>
      <c r="E40" s="1290">
        <f>'totrpt 1,19'!AB212</f>
        <v>55.5</v>
      </c>
      <c r="F40" s="1294">
        <f t="shared" ref="F40:F50" si="10">(C40-B40)/ABS(B40)</f>
        <v>-0.65463917525773196</v>
      </c>
      <c r="G40" s="1296">
        <f t="shared" ref="G40:G50" si="11">G39+B40</f>
        <v>174.5</v>
      </c>
      <c r="H40" s="1296">
        <f t="shared" ref="H40:H50" si="12">H39+C40</f>
        <v>77.900000000000006</v>
      </c>
      <c r="I40" s="1296">
        <f t="shared" ref="I40:I50" si="13">I39+D40</f>
        <v>319.29999999999995</v>
      </c>
      <c r="J40" s="1296"/>
      <c r="K40" s="1294">
        <f t="shared" ref="K40:K50" si="14">(H40-G40)/ABS(G40)</f>
        <v>-0.55358166189111746</v>
      </c>
    </row>
    <row r="41" spans="1:11" x14ac:dyDescent="0.25">
      <c r="A41" s="1298" t="s">
        <v>110</v>
      </c>
      <c r="B41" s="1290">
        <f>'totrpt 1,19'!Y213</f>
        <v>97.199999999999989</v>
      </c>
      <c r="C41" s="1290">
        <f>'totrpt 1,19'!Z213</f>
        <v>98.2</v>
      </c>
      <c r="D41" s="1290">
        <f>'totrpt 1,19'!AA213</f>
        <v>73.3</v>
      </c>
      <c r="E41" s="1290">
        <f>'totrpt 1,19'!AB213</f>
        <v>92.5</v>
      </c>
      <c r="F41" s="1294">
        <f t="shared" si="10"/>
        <v>1.0288065843621547E-2</v>
      </c>
      <c r="G41" s="1296">
        <f t="shared" si="11"/>
        <v>271.7</v>
      </c>
      <c r="H41" s="1296">
        <f t="shared" si="12"/>
        <v>176.10000000000002</v>
      </c>
      <c r="I41" s="1296">
        <f t="shared" si="13"/>
        <v>392.59999999999997</v>
      </c>
      <c r="J41" s="1296"/>
      <c r="K41" s="1294">
        <f t="shared" si="14"/>
        <v>-0.35185866764814122</v>
      </c>
    </row>
    <row r="42" spans="1:11" x14ac:dyDescent="0.25">
      <c r="A42" s="1298" t="s">
        <v>111</v>
      </c>
      <c r="B42" s="1290">
        <f>'totrpt 1,19'!Y214</f>
        <v>147.79999999999998</v>
      </c>
      <c r="C42" s="1290">
        <f>'totrpt 1,19'!Z214</f>
        <v>181.9</v>
      </c>
      <c r="D42" s="1290">
        <f>'totrpt 1,19'!AA214</f>
        <v>183.9</v>
      </c>
      <c r="E42" s="1290"/>
      <c r="F42" s="1294">
        <f t="shared" si="10"/>
        <v>0.23071718538565647</v>
      </c>
      <c r="G42" s="1296">
        <f t="shared" si="11"/>
        <v>419.5</v>
      </c>
      <c r="H42" s="1296">
        <f t="shared" si="12"/>
        <v>358</v>
      </c>
      <c r="I42" s="1296">
        <f t="shared" si="13"/>
        <v>576.5</v>
      </c>
      <c r="J42" s="1296"/>
      <c r="K42" s="1294">
        <f t="shared" si="14"/>
        <v>-0.1466030989272944</v>
      </c>
    </row>
    <row r="43" spans="1:11" x14ac:dyDescent="0.25">
      <c r="A43" s="1298" t="s">
        <v>112</v>
      </c>
      <c r="B43" s="1290">
        <f>'totrpt 1,19'!Y215</f>
        <v>176.2</v>
      </c>
      <c r="C43" s="1290">
        <f>'totrpt 1,19'!Z215</f>
        <v>203.5</v>
      </c>
      <c r="D43" s="1290">
        <f>'totrpt 1,19'!AA215</f>
        <v>214.5</v>
      </c>
      <c r="E43" s="1290"/>
      <c r="F43" s="1294">
        <f t="shared" si="10"/>
        <v>0.1549375709421113</v>
      </c>
      <c r="G43" s="1296">
        <f t="shared" si="11"/>
        <v>595.70000000000005</v>
      </c>
      <c r="H43" s="1296">
        <f t="shared" si="12"/>
        <v>561.5</v>
      </c>
      <c r="I43" s="1296">
        <f t="shared" si="13"/>
        <v>791</v>
      </c>
      <c r="J43" s="1296"/>
      <c r="K43" s="1294">
        <f t="shared" si="14"/>
        <v>-5.7411448715796613E-2</v>
      </c>
    </row>
    <row r="44" spans="1:11" x14ac:dyDescent="0.25">
      <c r="A44" s="1298" t="s">
        <v>113</v>
      </c>
      <c r="B44" s="1290">
        <f>'totrpt 1,19'!Y216</f>
        <v>212.6</v>
      </c>
      <c r="C44" s="1290">
        <f>'totrpt 1,19'!Z216</f>
        <v>246.9</v>
      </c>
      <c r="D44" s="1290">
        <f>'totrpt 1,19'!AA216</f>
        <v>247.2</v>
      </c>
      <c r="E44" s="1290"/>
      <c r="F44" s="1294">
        <f t="shared" si="10"/>
        <v>0.16133584195672632</v>
      </c>
      <c r="G44" s="1296">
        <f t="shared" si="11"/>
        <v>808.30000000000007</v>
      </c>
      <c r="H44" s="1296">
        <f t="shared" si="12"/>
        <v>808.4</v>
      </c>
      <c r="I44" s="1296">
        <f t="shared" si="13"/>
        <v>1038.2</v>
      </c>
      <c r="J44" s="1296"/>
      <c r="K44" s="1294">
        <f t="shared" si="14"/>
        <v>1.2371644191501799E-4</v>
      </c>
    </row>
    <row r="45" spans="1:11" x14ac:dyDescent="0.25">
      <c r="A45" s="1298" t="s">
        <v>114</v>
      </c>
      <c r="B45" s="1290">
        <f>'totrpt 1,19'!Y217</f>
        <v>252.4</v>
      </c>
      <c r="C45" s="1290">
        <f>'totrpt 1,19'!Z217</f>
        <v>254.3</v>
      </c>
      <c r="D45" s="1290">
        <f>'totrpt 1,19'!AA217</f>
        <v>316.89999999999998</v>
      </c>
      <c r="E45" s="1290"/>
      <c r="F45" s="1294">
        <f t="shared" si="10"/>
        <v>7.5277337559429697E-3</v>
      </c>
      <c r="G45" s="1296">
        <f t="shared" si="11"/>
        <v>1060.7</v>
      </c>
      <c r="H45" s="1296">
        <f t="shared" si="12"/>
        <v>1062.7</v>
      </c>
      <c r="I45" s="1296">
        <f t="shared" si="13"/>
        <v>1355.1</v>
      </c>
      <c r="J45" s="1296"/>
      <c r="K45" s="1294">
        <f t="shared" si="14"/>
        <v>1.8855472800980483E-3</v>
      </c>
    </row>
    <row r="46" spans="1:11" x14ac:dyDescent="0.25">
      <c r="A46" s="1298" t="s">
        <v>115</v>
      </c>
      <c r="B46" s="1289">
        <f>'totrpt 1,19'!Y218</f>
        <v>256</v>
      </c>
      <c r="C46" s="1290">
        <f>'totrpt 1,19'!Z218</f>
        <v>268.5</v>
      </c>
      <c r="D46" s="1290">
        <f>'totrpt 1,19'!AA218</f>
        <v>321.3</v>
      </c>
      <c r="E46" s="1290"/>
      <c r="F46" s="1294">
        <f t="shared" si="10"/>
        <v>4.8828125E-2</v>
      </c>
      <c r="G46" s="1296">
        <f t="shared" si="11"/>
        <v>1316.7</v>
      </c>
      <c r="H46" s="1296">
        <f t="shared" si="12"/>
        <v>1331.2</v>
      </c>
      <c r="I46" s="1296">
        <f t="shared" si="13"/>
        <v>1676.3999999999999</v>
      </c>
      <c r="J46" s="1296"/>
      <c r="K46" s="1294">
        <f t="shared" si="14"/>
        <v>1.1012379433432064E-2</v>
      </c>
    </row>
    <row r="47" spans="1:11" x14ac:dyDescent="0.25">
      <c r="A47" s="1298" t="s">
        <v>116</v>
      </c>
      <c r="B47" s="1289">
        <f>'totrpt 1,19'!Y219</f>
        <v>248.2</v>
      </c>
      <c r="C47" s="1290">
        <f>'totrpt 1,19'!Z219</f>
        <v>248</v>
      </c>
      <c r="D47" s="1290">
        <f>'totrpt 1,19'!AA219</f>
        <v>259.7</v>
      </c>
      <c r="E47" s="1290"/>
      <c r="F47" s="1294">
        <f t="shared" si="10"/>
        <v>-8.058017727638543E-4</v>
      </c>
      <c r="G47" s="1296">
        <f t="shared" si="11"/>
        <v>1564.9</v>
      </c>
      <c r="H47" s="1296">
        <f t="shared" si="12"/>
        <v>1579.2</v>
      </c>
      <c r="I47" s="1296">
        <f t="shared" si="13"/>
        <v>1936.1</v>
      </c>
      <c r="J47" s="1296"/>
      <c r="K47" s="1294">
        <f t="shared" si="14"/>
        <v>9.1379640871620902E-3</v>
      </c>
    </row>
    <row r="48" spans="1:11" x14ac:dyDescent="0.25">
      <c r="A48" s="1298" t="s">
        <v>117</v>
      </c>
      <c r="B48" s="1289">
        <f>'totrpt 1,19'!Y220</f>
        <v>212.5</v>
      </c>
      <c r="C48" s="1290">
        <f>'totrpt 1,19'!Z220</f>
        <v>254.2</v>
      </c>
      <c r="D48" s="1290">
        <f>'totrpt 1,19'!AA220</f>
        <v>248.60000000000002</v>
      </c>
      <c r="E48" s="1290"/>
      <c r="F48" s="1294">
        <f t="shared" si="10"/>
        <v>0.19623529411764701</v>
      </c>
      <c r="G48" s="1296">
        <f t="shared" si="11"/>
        <v>1777.4</v>
      </c>
      <c r="H48" s="1296">
        <f t="shared" si="12"/>
        <v>1833.4</v>
      </c>
      <c r="I48" s="1296">
        <f t="shared" si="13"/>
        <v>2184.6999999999998</v>
      </c>
      <c r="J48" s="1296"/>
      <c r="K48" s="1294">
        <f t="shared" si="14"/>
        <v>3.1506695172724204E-2</v>
      </c>
    </row>
    <row r="49" spans="1:11" x14ac:dyDescent="0.25">
      <c r="A49" s="1298" t="s">
        <v>118</v>
      </c>
      <c r="B49" s="1289">
        <f>'totrpt 1,19'!Y221</f>
        <v>142.6</v>
      </c>
      <c r="C49" s="1290">
        <f>'totrpt 1,19'!Z221</f>
        <v>196.1</v>
      </c>
      <c r="D49" s="1290">
        <f>'totrpt 1,19'!AA221</f>
        <v>194.78</v>
      </c>
      <c r="E49" s="1290"/>
      <c r="F49" s="1294">
        <f t="shared" si="10"/>
        <v>0.37517531556802247</v>
      </c>
      <c r="G49" s="1296">
        <f t="shared" si="11"/>
        <v>1920</v>
      </c>
      <c r="H49" s="1296">
        <f t="shared" si="12"/>
        <v>2029.5</v>
      </c>
      <c r="I49" s="1296">
        <f t="shared" si="13"/>
        <v>2379.48</v>
      </c>
      <c r="J49" s="1296"/>
      <c r="K49" s="1294">
        <f t="shared" si="14"/>
        <v>5.7031249999999999E-2</v>
      </c>
    </row>
    <row r="50" spans="1:11" x14ac:dyDescent="0.25">
      <c r="A50" s="1298" t="s">
        <v>119</v>
      </c>
      <c r="B50" s="1289">
        <f>'totrpt 1,19'!Y222</f>
        <v>94.5</v>
      </c>
      <c r="C50" s="1290">
        <f>'totrpt 1,19'!Z222</f>
        <v>231.6</v>
      </c>
      <c r="D50" s="1290">
        <f>'totrpt 1,19'!AA222</f>
        <v>100.3</v>
      </c>
      <c r="E50" s="1290"/>
      <c r="F50" s="1294">
        <f t="shared" si="10"/>
        <v>1.4507936507936507</v>
      </c>
      <c r="G50" s="1296">
        <f t="shared" si="11"/>
        <v>2014.5</v>
      </c>
      <c r="H50" s="1296">
        <f t="shared" si="12"/>
        <v>2261.1</v>
      </c>
      <c r="I50" s="1296">
        <f t="shared" si="13"/>
        <v>2479.7800000000002</v>
      </c>
      <c r="J50" s="1296"/>
      <c r="K50" s="1294">
        <f t="shared" si="14"/>
        <v>0.12241250930752043</v>
      </c>
    </row>
    <row r="173" spans="34:34" x14ac:dyDescent="0.25">
      <c r="AH173">
        <v>541.70000000000005</v>
      </c>
    </row>
    <row r="174" spans="34:34" x14ac:dyDescent="0.25">
      <c r="AH174">
        <f>996.6-AG173</f>
        <v>996.6</v>
      </c>
    </row>
  </sheetData>
  <mergeCells count="3">
    <mergeCell ref="A1:K1"/>
    <mergeCell ref="A19:K19"/>
    <mergeCell ref="A37:K37"/>
  </mergeCells>
  <printOptions horizontalCentered="1" verticalCentered="1"/>
  <pageMargins left="0.2" right="0.2" top="0.5" bottom="0.5" header="0.3" footer="0.3"/>
  <pageSetup paperSize="5" scale="67" orientation="landscape" r:id="rId1"/>
  <rowBreaks count="1" manualBreakCount="1">
    <brk id="35" max="22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AH174"/>
  <sheetViews>
    <sheetView zoomScaleNormal="100" workbookViewId="0">
      <selection activeCell="E3" sqref="E3:E5"/>
    </sheetView>
  </sheetViews>
  <sheetFormatPr defaultRowHeight="15.75" x14ac:dyDescent="0.25"/>
  <cols>
    <col min="1" max="1" width="4.625" style="1291" bestFit="1" customWidth="1"/>
    <col min="2" max="5" width="6.125" style="1291" customWidth="1"/>
    <col min="6" max="6" width="6.875" style="1291" bestFit="1" customWidth="1"/>
    <col min="7" max="10" width="7.75" style="1291" customWidth="1"/>
    <col min="11" max="11" width="6.75" style="1291" bestFit="1" customWidth="1"/>
  </cols>
  <sheetData>
    <row r="1" spans="1:22" x14ac:dyDescent="0.25">
      <c r="A1" s="1707" t="s">
        <v>1127</v>
      </c>
      <c r="B1" s="1707"/>
      <c r="C1" s="1707"/>
      <c r="D1" s="1707"/>
      <c r="E1" s="1707"/>
      <c r="F1" s="1707"/>
      <c r="G1" s="1707"/>
      <c r="H1" s="1707"/>
      <c r="I1" s="1707"/>
      <c r="J1" s="1707"/>
      <c r="K1" s="1707"/>
      <c r="L1" s="1286"/>
      <c r="M1" s="1286"/>
      <c r="N1" s="1286"/>
      <c r="O1" s="1286"/>
      <c r="P1" s="1286"/>
      <c r="Q1" s="1286"/>
      <c r="R1" s="1286"/>
      <c r="S1" s="1286"/>
      <c r="T1" s="1286"/>
      <c r="U1" s="1286"/>
      <c r="V1" s="1286"/>
    </row>
    <row r="2" spans="1:22" x14ac:dyDescent="0.25">
      <c r="A2" s="1288"/>
      <c r="B2" s="1292">
        <v>2016</v>
      </c>
      <c r="C2" s="1292">
        <v>2017</v>
      </c>
      <c r="D2" s="1292">
        <v>2018</v>
      </c>
      <c r="E2" s="1292">
        <v>2019</v>
      </c>
      <c r="F2" s="1292" t="s">
        <v>1122</v>
      </c>
      <c r="G2" s="1292" t="s">
        <v>1174</v>
      </c>
      <c r="H2" s="1292" t="s">
        <v>1221</v>
      </c>
      <c r="I2" s="1292" t="s">
        <v>1231</v>
      </c>
      <c r="J2" s="1292" t="s">
        <v>1269</v>
      </c>
      <c r="K2" s="1292" t="s">
        <v>1121</v>
      </c>
      <c r="L2" s="1287"/>
      <c r="M2" s="1286"/>
      <c r="N2" s="1286"/>
      <c r="O2" s="1286"/>
      <c r="P2" s="1286"/>
      <c r="Q2" s="1286"/>
      <c r="R2" s="1286"/>
      <c r="S2" s="1286"/>
      <c r="T2" s="1286"/>
      <c r="U2" s="1286"/>
      <c r="V2" s="1286"/>
    </row>
    <row r="3" spans="1:22" x14ac:dyDescent="0.25">
      <c r="A3" s="1298" t="s">
        <v>108</v>
      </c>
      <c r="B3" s="1289">
        <f>totrpt2!N8</f>
        <v>46.4</v>
      </c>
      <c r="C3" s="1289">
        <f>totrpt2!O8</f>
        <v>38.6</v>
      </c>
      <c r="D3" s="1289">
        <f>totrpt2!P8</f>
        <v>77.2</v>
      </c>
      <c r="E3" s="1289">
        <f>totrpt2!Q8</f>
        <v>48</v>
      </c>
      <c r="F3" s="1294">
        <f>(C3-B3)/ABS(B3)</f>
        <v>-0.16810344827586202</v>
      </c>
      <c r="G3" s="1296">
        <f>B3</f>
        <v>46.4</v>
      </c>
      <c r="H3" s="1296">
        <f>C3</f>
        <v>38.6</v>
      </c>
      <c r="I3" s="1296">
        <f>D3</f>
        <v>77.2</v>
      </c>
      <c r="J3" s="1296"/>
      <c r="K3" s="1294">
        <f>(H3-G3)/ABS(G3)</f>
        <v>-0.16810344827586202</v>
      </c>
      <c r="L3" s="1287"/>
      <c r="M3" s="1286"/>
      <c r="N3" s="1286"/>
      <c r="O3" s="1286"/>
      <c r="P3" s="1286"/>
      <c r="Q3" s="1286"/>
      <c r="R3" s="1286"/>
      <c r="S3" s="1286"/>
      <c r="T3" s="1286"/>
      <c r="U3" s="1286"/>
      <c r="V3" s="1286"/>
    </row>
    <row r="4" spans="1:22" x14ac:dyDescent="0.25">
      <c r="A4" s="1298" t="s">
        <v>109</v>
      </c>
      <c r="B4" s="1289">
        <f>totrpt2!N9</f>
        <v>59.9</v>
      </c>
      <c r="C4" s="1289">
        <f>totrpt2!O9</f>
        <v>31</v>
      </c>
      <c r="D4" s="1289">
        <f>totrpt2!P9</f>
        <v>77.8</v>
      </c>
      <c r="E4" s="1289">
        <f>totrpt2!Q9</f>
        <v>30.5</v>
      </c>
      <c r="F4" s="1294">
        <f t="shared" ref="F4:F14" si="0">(C4-B4)/ABS(B4)</f>
        <v>-0.48247078464106846</v>
      </c>
      <c r="G4" s="1296">
        <f t="shared" ref="G4:G14" si="1">G3+B4</f>
        <v>106.3</v>
      </c>
      <c r="H4" s="1296">
        <f t="shared" ref="H4:H14" si="2">H3+C4</f>
        <v>69.599999999999994</v>
      </c>
      <c r="I4" s="1296">
        <f t="shared" ref="I4:I14" si="3">I3+D4</f>
        <v>155</v>
      </c>
      <c r="J4" s="1296"/>
      <c r="K4" s="1294">
        <f t="shared" ref="K4:K14" si="4">(H4-G4)/ABS(G4)</f>
        <v>-0.34524929444967078</v>
      </c>
      <c r="L4" s="1291"/>
    </row>
    <row r="5" spans="1:22" x14ac:dyDescent="0.25">
      <c r="A5" s="1298" t="s">
        <v>110</v>
      </c>
      <c r="B5" s="1289">
        <f>totrpt2!N10</f>
        <v>60.2</v>
      </c>
      <c r="C5" s="1289">
        <f>totrpt2!O10</f>
        <v>63.7</v>
      </c>
      <c r="D5" s="1289">
        <f>totrpt2!P10</f>
        <v>69.599999999999994</v>
      </c>
      <c r="E5" s="1289">
        <f>totrpt2!Q10</f>
        <v>49</v>
      </c>
      <c r="F5" s="1294">
        <f t="shared" si="0"/>
        <v>5.8139534883720929E-2</v>
      </c>
      <c r="G5" s="1296">
        <f t="shared" si="1"/>
        <v>166.5</v>
      </c>
      <c r="H5" s="1296">
        <f t="shared" si="2"/>
        <v>133.30000000000001</v>
      </c>
      <c r="I5" s="1296">
        <f t="shared" si="3"/>
        <v>224.6</v>
      </c>
      <c r="J5" s="1296"/>
      <c r="K5" s="1294">
        <f t="shared" si="4"/>
        <v>-0.19939939939939932</v>
      </c>
      <c r="L5" s="1291"/>
    </row>
    <row r="6" spans="1:22" x14ac:dyDescent="0.25">
      <c r="A6" s="1298" t="s">
        <v>111</v>
      </c>
      <c r="B6" s="1289">
        <f>totrpt2!N11</f>
        <v>74</v>
      </c>
      <c r="C6" s="1289">
        <f>totrpt2!O11</f>
        <v>94.8</v>
      </c>
      <c r="D6" s="1289">
        <f>totrpt2!P11</f>
        <v>96.1</v>
      </c>
      <c r="E6" s="1289"/>
      <c r="F6" s="1294">
        <f t="shared" si="0"/>
        <v>0.28108108108108104</v>
      </c>
      <c r="G6" s="1296">
        <f t="shared" si="1"/>
        <v>240.5</v>
      </c>
      <c r="H6" s="1296">
        <f t="shared" si="2"/>
        <v>228.10000000000002</v>
      </c>
      <c r="I6" s="1296">
        <f t="shared" si="3"/>
        <v>320.7</v>
      </c>
      <c r="J6" s="1296"/>
      <c r="K6" s="1294">
        <f t="shared" si="4"/>
        <v>-5.1559251559251465E-2</v>
      </c>
      <c r="L6" s="1291"/>
    </row>
    <row r="7" spans="1:22" x14ac:dyDescent="0.25">
      <c r="A7" s="1298" t="s">
        <v>112</v>
      </c>
      <c r="B7" s="1289">
        <f>totrpt2!N12</f>
        <v>90.5</v>
      </c>
      <c r="C7" s="1289">
        <f>totrpt2!O12</f>
        <v>99.5</v>
      </c>
      <c r="D7" s="1289">
        <f>totrpt2!P12</f>
        <v>141.1</v>
      </c>
      <c r="E7" s="1289"/>
      <c r="F7" s="1294">
        <f t="shared" si="0"/>
        <v>9.9447513812154692E-2</v>
      </c>
      <c r="G7" s="1296">
        <f t="shared" si="1"/>
        <v>331</v>
      </c>
      <c r="H7" s="1296">
        <f t="shared" si="2"/>
        <v>327.60000000000002</v>
      </c>
      <c r="I7" s="1296">
        <f t="shared" si="3"/>
        <v>461.79999999999995</v>
      </c>
      <c r="J7" s="1296"/>
      <c r="K7" s="1294">
        <f t="shared" si="4"/>
        <v>-1.0271903323262771E-2</v>
      </c>
      <c r="L7" s="1291"/>
    </row>
    <row r="8" spans="1:22" x14ac:dyDescent="0.25">
      <c r="A8" s="1298" t="s">
        <v>113</v>
      </c>
      <c r="B8" s="1289">
        <v>99.8</v>
      </c>
      <c r="C8" s="1289">
        <f>totrpt2!O13</f>
        <v>111.9</v>
      </c>
      <c r="D8" s="1289">
        <f>totrpt2!P13</f>
        <v>176.4</v>
      </c>
      <c r="E8" s="1289"/>
      <c r="F8" s="1294">
        <f t="shared" si="0"/>
        <v>0.12124248496993997</v>
      </c>
      <c r="G8" s="1296">
        <f t="shared" si="1"/>
        <v>430.8</v>
      </c>
      <c r="H8" s="1296">
        <f t="shared" si="2"/>
        <v>439.5</v>
      </c>
      <c r="I8" s="1296">
        <f t="shared" si="3"/>
        <v>638.19999999999993</v>
      </c>
      <c r="J8" s="1296"/>
      <c r="K8" s="1294">
        <f t="shared" si="4"/>
        <v>2.0194986072423371E-2</v>
      </c>
      <c r="L8" s="1291"/>
    </row>
    <row r="9" spans="1:22" x14ac:dyDescent="0.25">
      <c r="A9" s="1298" t="s">
        <v>114</v>
      </c>
      <c r="B9" s="1289">
        <v>125.5</v>
      </c>
      <c r="C9" s="1289">
        <f>totrpt2!O14</f>
        <v>128.1</v>
      </c>
      <c r="D9" s="1289">
        <f>totrpt2!P14</f>
        <v>191.8</v>
      </c>
      <c r="E9" s="1289"/>
      <c r="F9" s="1294">
        <f t="shared" si="0"/>
        <v>2.0717131474103541E-2</v>
      </c>
      <c r="G9" s="1296">
        <f t="shared" si="1"/>
        <v>556.29999999999995</v>
      </c>
      <c r="H9" s="1296">
        <f t="shared" si="2"/>
        <v>567.6</v>
      </c>
      <c r="I9" s="1296">
        <f t="shared" si="3"/>
        <v>830</v>
      </c>
      <c r="J9" s="1296"/>
      <c r="K9" s="1294">
        <f t="shared" si="4"/>
        <v>2.0312780873629459E-2</v>
      </c>
      <c r="L9" s="1291"/>
    </row>
    <row r="10" spans="1:22" x14ac:dyDescent="0.25">
      <c r="A10" s="1298" t="s">
        <v>115</v>
      </c>
      <c r="B10" s="1289">
        <v>122.1</v>
      </c>
      <c r="C10" s="1289">
        <f>totrpt2!O15</f>
        <v>129.1</v>
      </c>
      <c r="D10" s="1289">
        <f>totrpt2!P15</f>
        <v>130.6</v>
      </c>
      <c r="E10" s="1289"/>
      <c r="F10" s="1294">
        <f t="shared" si="0"/>
        <v>5.7330057330057332E-2</v>
      </c>
      <c r="G10" s="1296">
        <f t="shared" si="1"/>
        <v>678.4</v>
      </c>
      <c r="H10" s="1296">
        <f t="shared" si="2"/>
        <v>696.7</v>
      </c>
      <c r="I10" s="1296">
        <f t="shared" si="3"/>
        <v>960.6</v>
      </c>
      <c r="J10" s="1296"/>
      <c r="K10" s="1294">
        <f t="shared" si="4"/>
        <v>2.6975235849056704E-2</v>
      </c>
      <c r="L10" s="1291"/>
    </row>
    <row r="11" spans="1:22" x14ac:dyDescent="0.25">
      <c r="A11" s="1298" t="s">
        <v>116</v>
      </c>
      <c r="B11" s="1289">
        <v>114</v>
      </c>
      <c r="C11" s="1289">
        <f>totrpt2!O16</f>
        <v>110</v>
      </c>
      <c r="D11" s="1289">
        <f>totrpt2!P16</f>
        <v>122.1</v>
      </c>
      <c r="E11" s="1289"/>
      <c r="F11" s="1294">
        <f t="shared" si="0"/>
        <v>-3.5087719298245612E-2</v>
      </c>
      <c r="G11" s="1296">
        <f t="shared" si="1"/>
        <v>792.4</v>
      </c>
      <c r="H11" s="1296">
        <f t="shared" si="2"/>
        <v>806.7</v>
      </c>
      <c r="I11" s="1296">
        <f t="shared" si="3"/>
        <v>1082.7</v>
      </c>
      <c r="J11" s="1296"/>
      <c r="K11" s="1294">
        <f t="shared" si="4"/>
        <v>1.8046441191317604E-2</v>
      </c>
      <c r="L11" s="1291"/>
    </row>
    <row r="12" spans="1:22" x14ac:dyDescent="0.25">
      <c r="A12" s="1298" t="s">
        <v>117</v>
      </c>
      <c r="B12" s="1289">
        <v>99.2</v>
      </c>
      <c r="C12" s="1289">
        <f>totrpt2!O17</f>
        <v>118.8</v>
      </c>
      <c r="D12" s="1289">
        <f>totrpt2!P17</f>
        <v>98.3</v>
      </c>
      <c r="E12" s="1289"/>
      <c r="F12" s="1294">
        <f t="shared" si="0"/>
        <v>0.19758064516129026</v>
      </c>
      <c r="G12" s="1296">
        <f t="shared" si="1"/>
        <v>891.6</v>
      </c>
      <c r="H12" s="1296">
        <f t="shared" si="2"/>
        <v>925.5</v>
      </c>
      <c r="I12" s="1296">
        <f t="shared" si="3"/>
        <v>1181</v>
      </c>
      <c r="J12" s="1296"/>
      <c r="K12" s="1294">
        <f t="shared" si="4"/>
        <v>3.8021534320322986E-2</v>
      </c>
      <c r="L12" s="1291"/>
    </row>
    <row r="13" spans="1:22" x14ac:dyDescent="0.25">
      <c r="A13" s="1298" t="s">
        <v>118</v>
      </c>
      <c r="B13" s="1289">
        <v>82.3</v>
      </c>
      <c r="C13" s="1289">
        <f>totrpt2!O18</f>
        <v>90.4</v>
      </c>
      <c r="D13" s="1289">
        <f>totrpt2!P18</f>
        <v>100.9</v>
      </c>
      <c r="E13" s="1289"/>
      <c r="F13" s="1294">
        <f t="shared" si="0"/>
        <v>9.8420413122721859E-2</v>
      </c>
      <c r="G13" s="1296">
        <f t="shared" si="1"/>
        <v>973.9</v>
      </c>
      <c r="H13" s="1296">
        <f t="shared" si="2"/>
        <v>1015.9</v>
      </c>
      <c r="I13" s="1296">
        <f t="shared" si="3"/>
        <v>1281.9000000000001</v>
      </c>
      <c r="J13" s="1296"/>
      <c r="K13" s="1294">
        <f t="shared" si="4"/>
        <v>4.3125577574699661E-2</v>
      </c>
      <c r="L13" s="1291"/>
    </row>
    <row r="14" spans="1:22" x14ac:dyDescent="0.25">
      <c r="A14" s="1298" t="s">
        <v>119</v>
      </c>
      <c r="B14" s="1289">
        <v>59.5</v>
      </c>
      <c r="C14" s="1289">
        <f>totrpt2!O19</f>
        <v>90.1</v>
      </c>
      <c r="D14" s="1289">
        <f>totrpt2!P19</f>
        <v>54.9</v>
      </c>
      <c r="E14" s="1289"/>
      <c r="F14" s="1294">
        <f t="shared" si="0"/>
        <v>0.51428571428571423</v>
      </c>
      <c r="G14" s="1296">
        <f t="shared" si="1"/>
        <v>1033.4000000000001</v>
      </c>
      <c r="H14" s="1296">
        <f t="shared" si="2"/>
        <v>1106</v>
      </c>
      <c r="I14" s="1296">
        <f t="shared" si="3"/>
        <v>1336.8000000000002</v>
      </c>
      <c r="J14" s="1296"/>
      <c r="K14" s="1294">
        <f t="shared" si="4"/>
        <v>7.0253532030191509E-2</v>
      </c>
      <c r="L14" s="1291"/>
    </row>
    <row r="15" spans="1:22" x14ac:dyDescent="0.25">
      <c r="A15" s="1288"/>
      <c r="B15" s="1288"/>
      <c r="C15" s="1288"/>
      <c r="D15" s="1288"/>
      <c r="E15" s="1288"/>
      <c r="F15" s="1288"/>
      <c r="G15" s="1288"/>
      <c r="H15" s="1288"/>
      <c r="I15" s="1288"/>
      <c r="J15" s="1288"/>
      <c r="K15" s="1288"/>
    </row>
    <row r="16" spans="1:22" x14ac:dyDescent="0.25">
      <c r="A16" s="1288"/>
      <c r="B16" s="1288"/>
      <c r="C16" s="1288"/>
      <c r="D16" s="1288"/>
      <c r="E16" s="1288"/>
      <c r="F16" s="1288"/>
      <c r="G16" s="1288"/>
      <c r="H16" s="1288"/>
      <c r="I16" s="1288"/>
      <c r="J16" s="1288"/>
      <c r="K16" s="1288"/>
    </row>
    <row r="19" spans="1:15" x14ac:dyDescent="0.25">
      <c r="A19" s="1287"/>
      <c r="B19" s="1292"/>
      <c r="C19" s="1292"/>
      <c r="D19" s="1292"/>
      <c r="E19" s="1292"/>
      <c r="F19" s="1292"/>
      <c r="G19" s="1292"/>
      <c r="H19" s="1292"/>
      <c r="I19" s="1292"/>
      <c r="J19" s="1292"/>
      <c r="K19" s="1292"/>
      <c r="O19" s="1433">
        <v>69</v>
      </c>
    </row>
    <row r="20" spans="1:15" x14ac:dyDescent="0.25">
      <c r="A20" s="1298"/>
      <c r="B20" s="1290"/>
      <c r="C20" s="1290"/>
      <c r="D20" s="1290"/>
      <c r="E20" s="1290"/>
      <c r="F20" s="1294"/>
      <c r="G20" s="1296"/>
      <c r="H20" s="1296"/>
      <c r="I20" s="1296"/>
      <c r="J20" s="1296"/>
      <c r="K20" s="1294"/>
    </row>
    <row r="21" spans="1:15" x14ac:dyDescent="0.25">
      <c r="A21" s="1298"/>
      <c r="B21" s="1290"/>
      <c r="C21" s="1290"/>
      <c r="D21" s="1290"/>
      <c r="E21" s="1290"/>
      <c r="F21" s="1294"/>
      <c r="G21" s="1296"/>
      <c r="H21" s="1296"/>
      <c r="I21" s="1296"/>
      <c r="J21" s="1296"/>
      <c r="K21" s="1294"/>
    </row>
    <row r="22" spans="1:15" x14ac:dyDescent="0.25">
      <c r="A22" s="1298"/>
      <c r="B22" s="1290"/>
      <c r="C22" s="1290"/>
      <c r="D22" s="1290"/>
      <c r="E22" s="1290"/>
      <c r="F22" s="1294"/>
      <c r="G22" s="1296"/>
      <c r="H22" s="1296"/>
      <c r="I22" s="1296"/>
      <c r="J22" s="1296"/>
      <c r="K22" s="1294"/>
    </row>
    <row r="23" spans="1:15" x14ac:dyDescent="0.25">
      <c r="A23" s="1298"/>
      <c r="B23" s="1290"/>
      <c r="C23" s="1290"/>
      <c r="D23" s="1290"/>
      <c r="E23" s="1290"/>
      <c r="F23" s="1294"/>
      <c r="G23" s="1296"/>
      <c r="H23" s="1296"/>
      <c r="I23" s="1296"/>
      <c r="J23" s="1296"/>
      <c r="K23" s="1294"/>
    </row>
    <row r="24" spans="1:15" x14ac:dyDescent="0.25">
      <c r="A24" s="1298"/>
      <c r="B24" s="1290"/>
      <c r="C24" s="1290"/>
      <c r="D24" s="1290"/>
      <c r="E24" s="1290"/>
      <c r="F24" s="1294"/>
      <c r="G24" s="1296"/>
      <c r="H24" s="1296"/>
      <c r="I24" s="1296"/>
      <c r="J24" s="1296"/>
      <c r="K24" s="1294"/>
    </row>
    <row r="25" spans="1:15" x14ac:dyDescent="0.25">
      <c r="A25" s="1298"/>
      <c r="B25" s="1290"/>
      <c r="C25" s="1290"/>
      <c r="D25" s="1290"/>
      <c r="E25" s="1290"/>
      <c r="F25" s="1294"/>
      <c r="G25" s="1296"/>
      <c r="H25" s="1296"/>
      <c r="I25" s="1296"/>
      <c r="J25" s="1296"/>
      <c r="K25" s="1294"/>
    </row>
    <row r="26" spans="1:15" x14ac:dyDescent="0.25">
      <c r="A26" s="1298"/>
      <c r="B26" s="1290"/>
      <c r="C26" s="1290"/>
      <c r="D26" s="1290"/>
      <c r="E26" s="1290"/>
      <c r="F26" s="1294"/>
      <c r="G26" s="1296"/>
      <c r="H26" s="1296"/>
      <c r="I26" s="1296"/>
      <c r="J26" s="1296"/>
      <c r="K26" s="1294"/>
    </row>
    <row r="27" spans="1:15" x14ac:dyDescent="0.25">
      <c r="A27" s="1298"/>
      <c r="B27" s="1290"/>
      <c r="C27" s="1290"/>
      <c r="D27" s="1290"/>
      <c r="E27" s="1290"/>
      <c r="F27" s="1294"/>
      <c r="G27" s="1296"/>
      <c r="H27" s="1296"/>
      <c r="I27" s="1296"/>
      <c r="J27" s="1296"/>
      <c r="K27" s="1294"/>
    </row>
    <row r="28" spans="1:15" x14ac:dyDescent="0.25">
      <c r="A28" s="1298"/>
      <c r="B28" s="1290"/>
      <c r="C28" s="1290"/>
      <c r="D28" s="1290"/>
      <c r="E28" s="1290"/>
      <c r="F28" s="1294"/>
      <c r="G28" s="1296"/>
      <c r="H28" s="1296"/>
      <c r="I28" s="1296"/>
      <c r="J28" s="1296"/>
      <c r="K28" s="1294"/>
    </row>
    <row r="29" spans="1:15" x14ac:dyDescent="0.25">
      <c r="A29" s="1298"/>
      <c r="B29" s="1290"/>
      <c r="C29" s="1290"/>
      <c r="D29" s="1290"/>
      <c r="E29" s="1290"/>
      <c r="F29" s="1294"/>
      <c r="G29" s="1296"/>
      <c r="H29" s="1296"/>
      <c r="I29" s="1296"/>
      <c r="J29" s="1296"/>
      <c r="K29" s="1294"/>
    </row>
    <row r="30" spans="1:15" x14ac:dyDescent="0.25">
      <c r="A30" s="1298"/>
      <c r="B30" s="1290"/>
      <c r="C30" s="1290"/>
      <c r="D30" s="1290"/>
      <c r="E30" s="1290"/>
      <c r="F30" s="1294"/>
      <c r="G30" s="1296"/>
      <c r="H30" s="1296"/>
      <c r="I30" s="1296"/>
      <c r="J30" s="1296"/>
      <c r="K30" s="1294"/>
    </row>
    <row r="31" spans="1:15" x14ac:dyDescent="0.25">
      <c r="A31" s="1298"/>
      <c r="B31" s="1290"/>
      <c r="C31" s="1290"/>
      <c r="D31" s="1290"/>
      <c r="E31" s="1290"/>
      <c r="F31" s="1294"/>
      <c r="G31" s="1296"/>
      <c r="H31" s="1296"/>
      <c r="I31" s="1296"/>
      <c r="J31" s="1296"/>
      <c r="K31" s="1294"/>
    </row>
    <row r="173" spans="34:34" x14ac:dyDescent="0.25">
      <c r="AH173">
        <v>541.70000000000005</v>
      </c>
    </row>
    <row r="174" spans="34:34" x14ac:dyDescent="0.25">
      <c r="AH174">
        <f>996.6-AG173</f>
        <v>996.6</v>
      </c>
    </row>
  </sheetData>
  <mergeCells count="1">
    <mergeCell ref="A1:K1"/>
  </mergeCells>
  <printOptions horizontalCentered="1" verticalCentered="1"/>
  <pageMargins left="0.2" right="0.2" top="0.5" bottom="0.5" header="0.3" footer="0.3"/>
  <pageSetup paperSize="5" scale="8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AH174"/>
  <sheetViews>
    <sheetView zoomScaleNormal="100" workbookViewId="0">
      <selection activeCell="J14" sqref="J14"/>
    </sheetView>
  </sheetViews>
  <sheetFormatPr defaultRowHeight="15.75" x14ac:dyDescent="0.25"/>
  <cols>
    <col min="1" max="1" width="4.625" style="1291" bestFit="1" customWidth="1"/>
    <col min="2" max="5" width="6.125" style="1291" customWidth="1"/>
    <col min="6" max="6" width="6.875" style="1291" bestFit="1" customWidth="1"/>
    <col min="7" max="10" width="7.75" style="1291" customWidth="1"/>
    <col min="11" max="11" width="6.75" style="1291" bestFit="1" customWidth="1"/>
  </cols>
  <sheetData>
    <row r="1" spans="1:22" x14ac:dyDescent="0.25">
      <c r="A1" s="1707" t="s">
        <v>1126</v>
      </c>
      <c r="B1" s="1707"/>
      <c r="C1" s="1707"/>
      <c r="D1" s="1707"/>
      <c r="E1" s="1707"/>
      <c r="F1" s="1707"/>
      <c r="G1" s="1707"/>
      <c r="H1" s="1707"/>
      <c r="I1" s="1707"/>
      <c r="J1" s="1707"/>
      <c r="K1" s="1707"/>
      <c r="L1" s="1286"/>
      <c r="M1" s="1286"/>
      <c r="N1" s="1286"/>
      <c r="O1" s="1286"/>
      <c r="P1" s="1286"/>
      <c r="Q1" s="1286"/>
      <c r="R1" s="1286"/>
      <c r="S1" s="1286"/>
      <c r="T1" s="1286"/>
      <c r="U1" s="1286"/>
      <c r="V1" s="1286"/>
    </row>
    <row r="2" spans="1:22" x14ac:dyDescent="0.25">
      <c r="A2" s="1287"/>
      <c r="B2" s="1292">
        <v>2016</v>
      </c>
      <c r="C2" s="1292">
        <v>2017</v>
      </c>
      <c r="D2" s="1292">
        <v>2018</v>
      </c>
      <c r="E2" s="1292">
        <v>2019</v>
      </c>
      <c r="F2" s="1292" t="s">
        <v>1122</v>
      </c>
      <c r="G2" s="1292" t="s">
        <v>1174</v>
      </c>
      <c r="H2" s="1292" t="s">
        <v>1221</v>
      </c>
      <c r="I2" s="1292" t="s">
        <v>1231</v>
      </c>
      <c r="J2" s="1292" t="s">
        <v>1269</v>
      </c>
      <c r="K2" s="1292" t="s">
        <v>1121</v>
      </c>
      <c r="L2" s="1286"/>
      <c r="M2" s="1286"/>
      <c r="N2" s="1286"/>
      <c r="O2" s="1286"/>
      <c r="P2" s="1286"/>
      <c r="Q2" s="1286"/>
      <c r="R2" s="1286"/>
      <c r="S2" s="1286"/>
      <c r="T2" s="1286"/>
      <c r="U2" s="1286"/>
      <c r="V2" s="1286"/>
    </row>
    <row r="3" spans="1:22" x14ac:dyDescent="0.25">
      <c r="A3" s="1298" t="s">
        <v>108</v>
      </c>
      <c r="B3" s="1290">
        <f>totrpt2!AB8</f>
        <v>42.1</v>
      </c>
      <c r="C3" s="1290">
        <f>totrpt2!AC8</f>
        <v>21.1</v>
      </c>
      <c r="D3" s="1290">
        <v>85.5</v>
      </c>
      <c r="E3" s="1290">
        <f>totrpt2!AE8</f>
        <v>48.2</v>
      </c>
      <c r="F3" s="1294">
        <f>(C3-B3)/ABS(B3)</f>
        <v>-0.49881235154394299</v>
      </c>
      <c r="G3" s="1296">
        <f>B3</f>
        <v>42.1</v>
      </c>
      <c r="H3" s="1296">
        <f>C3</f>
        <v>21.1</v>
      </c>
      <c r="I3" s="1296">
        <v>85.5</v>
      </c>
      <c r="J3" s="1296">
        <f>E3</f>
        <v>48.2</v>
      </c>
      <c r="K3" s="1294">
        <f>(H3-G3)/ABS(G3)</f>
        <v>-0.49881235154394299</v>
      </c>
      <c r="L3" s="1286"/>
      <c r="M3" s="1286"/>
      <c r="N3" s="1286"/>
      <c r="O3" s="1286"/>
      <c r="P3" s="1286"/>
      <c r="Q3" s="1286"/>
      <c r="R3" s="1286"/>
      <c r="S3" s="1286"/>
      <c r="T3" s="1286"/>
      <c r="U3" s="1286"/>
      <c r="V3" s="1286"/>
    </row>
    <row r="4" spans="1:22" x14ac:dyDescent="0.25">
      <c r="A4" s="1298" t="s">
        <v>109</v>
      </c>
      <c r="B4" s="1290">
        <f>totrpt2!AB9</f>
        <v>61</v>
      </c>
      <c r="C4" s="1290">
        <f>totrpt2!AC9</f>
        <v>24.4</v>
      </c>
      <c r="D4" s="1290">
        <f>totrpt2!AD9</f>
        <v>95.7</v>
      </c>
      <c r="E4" s="1290">
        <f>totrpt2!AE9</f>
        <v>24.6</v>
      </c>
      <c r="F4" s="1294">
        <f t="shared" ref="F4:F14" si="0">(C4-B4)/ABS(B4)</f>
        <v>-0.6</v>
      </c>
      <c r="G4" s="1296">
        <f t="shared" ref="G4:G14" si="1">G3+B4</f>
        <v>103.1</v>
      </c>
      <c r="H4" s="1296">
        <f t="shared" ref="H4:H14" si="2">H3+C4</f>
        <v>45.5</v>
      </c>
      <c r="I4" s="1296">
        <v>95.7</v>
      </c>
      <c r="J4" s="1296">
        <f>E4</f>
        <v>24.6</v>
      </c>
      <c r="K4" s="1294">
        <f t="shared" ref="K4:K14" si="3">(H4-G4)/ABS(G4)</f>
        <v>-0.55868089233753637</v>
      </c>
      <c r="L4" s="1286"/>
      <c r="M4" s="1286"/>
      <c r="N4" s="1286"/>
      <c r="O4" s="1286"/>
      <c r="P4" s="1286"/>
      <c r="Q4" s="1286"/>
      <c r="R4" s="1286"/>
      <c r="S4" s="1286"/>
      <c r="T4" s="1286"/>
      <c r="U4" s="1286"/>
      <c r="V4" s="1286"/>
    </row>
    <row r="5" spans="1:22" x14ac:dyDescent="0.25">
      <c r="A5" s="1298" t="s">
        <v>110</v>
      </c>
      <c r="B5" s="1290">
        <f>totrpt2!AB10</f>
        <v>55.3</v>
      </c>
      <c r="C5" s="1290">
        <f>totrpt2!AC10</f>
        <v>82.7</v>
      </c>
      <c r="D5" s="1290">
        <f>totrpt2!AD10</f>
        <v>42.6</v>
      </c>
      <c r="E5" s="1290">
        <f>totrpt2!AE10</f>
        <v>60.7</v>
      </c>
      <c r="F5" s="1294">
        <f t="shared" si="0"/>
        <v>0.49547920433996395</v>
      </c>
      <c r="G5" s="1296">
        <f t="shared" si="1"/>
        <v>158.39999999999998</v>
      </c>
      <c r="H5" s="1296">
        <f t="shared" si="2"/>
        <v>128.19999999999999</v>
      </c>
      <c r="I5" s="1296">
        <v>42.6</v>
      </c>
      <c r="J5" s="1296">
        <f>E5</f>
        <v>60.7</v>
      </c>
      <c r="K5" s="1294">
        <f t="shared" si="3"/>
        <v>-0.19065656565656561</v>
      </c>
      <c r="L5" s="1286"/>
      <c r="M5" s="1286"/>
      <c r="N5" s="1286"/>
      <c r="O5" s="1286"/>
      <c r="P5" s="1286"/>
      <c r="Q5" s="1286"/>
      <c r="R5" s="1286"/>
      <c r="S5" s="1286"/>
      <c r="T5" s="1286"/>
      <c r="U5" s="1286"/>
      <c r="V5" s="1286"/>
    </row>
    <row r="6" spans="1:22" x14ac:dyDescent="0.25">
      <c r="A6" s="1298" t="s">
        <v>111</v>
      </c>
      <c r="B6" s="1290">
        <f>totrpt2!AB11</f>
        <v>85.3</v>
      </c>
      <c r="C6" s="1290">
        <f>totrpt2!AC11</f>
        <v>110.3</v>
      </c>
      <c r="D6" s="1290">
        <f>totrpt2!AD11</f>
        <v>125.7</v>
      </c>
      <c r="E6" s="1290"/>
      <c r="F6" s="1294">
        <f t="shared" si="0"/>
        <v>0.29308323563892147</v>
      </c>
      <c r="G6" s="1296">
        <f t="shared" si="1"/>
        <v>243.7</v>
      </c>
      <c r="H6" s="1296">
        <f t="shared" si="2"/>
        <v>238.5</v>
      </c>
      <c r="I6" s="1296">
        <v>125.7</v>
      </c>
      <c r="J6" s="1296"/>
      <c r="K6" s="1294">
        <f t="shared" si="3"/>
        <v>-2.133771029954858E-2</v>
      </c>
      <c r="L6" s="1286"/>
      <c r="M6" s="1286"/>
      <c r="N6" s="1286"/>
      <c r="O6" s="1286"/>
      <c r="P6" s="1286"/>
      <c r="Q6" s="1286"/>
      <c r="R6" s="1286"/>
      <c r="S6" s="1286"/>
      <c r="T6" s="1286"/>
      <c r="U6" s="1286"/>
      <c r="V6" s="1286"/>
    </row>
    <row r="7" spans="1:22" x14ac:dyDescent="0.25">
      <c r="A7" s="1298" t="s">
        <v>112</v>
      </c>
      <c r="B7" s="1290">
        <f>totrpt2!AB12</f>
        <v>99.7</v>
      </c>
      <c r="C7" s="1290">
        <f>totrpt2!AC12</f>
        <v>135.19999999999999</v>
      </c>
      <c r="D7" s="1290">
        <f>totrpt2!AD12</f>
        <v>147.4</v>
      </c>
      <c r="E7" s="1290"/>
      <c r="F7" s="1294">
        <f t="shared" si="0"/>
        <v>0.35606820461384137</v>
      </c>
      <c r="G7" s="1296">
        <f t="shared" si="1"/>
        <v>343.4</v>
      </c>
      <c r="H7" s="1296">
        <f t="shared" si="2"/>
        <v>373.7</v>
      </c>
      <c r="I7" s="1296">
        <v>147.4</v>
      </c>
      <c r="J7" s="1296"/>
      <c r="K7" s="1294">
        <f t="shared" si="3"/>
        <v>8.8235294117647092E-2</v>
      </c>
      <c r="L7" s="1286"/>
      <c r="M7" s="1286"/>
      <c r="N7" s="1286"/>
      <c r="O7" s="1286"/>
      <c r="P7" s="1286"/>
      <c r="Q7" s="1286"/>
      <c r="R7" s="1286"/>
      <c r="S7" s="1286"/>
      <c r="T7" s="1286"/>
      <c r="U7" s="1286"/>
      <c r="V7" s="1286"/>
    </row>
    <row r="8" spans="1:22" x14ac:dyDescent="0.25">
      <c r="A8" s="1298" t="s">
        <v>113</v>
      </c>
      <c r="B8" s="1290">
        <f>totrpt2!AB13</f>
        <v>123.4</v>
      </c>
      <c r="C8" s="1290">
        <f>totrpt2!AC13</f>
        <v>140.30000000000001</v>
      </c>
      <c r="D8" s="1290">
        <f>totrpt2!AD13</f>
        <v>181.1</v>
      </c>
      <c r="E8" s="1290"/>
      <c r="F8" s="1294">
        <f t="shared" si="0"/>
        <v>0.13695299837925451</v>
      </c>
      <c r="G8" s="1296">
        <f t="shared" si="1"/>
        <v>466.79999999999995</v>
      </c>
      <c r="H8" s="1296">
        <f t="shared" si="2"/>
        <v>514</v>
      </c>
      <c r="I8" s="1296">
        <v>181.1</v>
      </c>
      <c r="J8" s="1296"/>
      <c r="K8" s="1294">
        <f t="shared" si="3"/>
        <v>0.101113967437875</v>
      </c>
      <c r="L8" s="1286"/>
      <c r="M8" s="1286"/>
      <c r="N8" s="1286"/>
      <c r="O8" s="1286"/>
      <c r="P8" s="1286"/>
      <c r="Q8" s="1286"/>
      <c r="R8" s="1286"/>
      <c r="S8" s="1286"/>
      <c r="T8" s="1286"/>
      <c r="U8" s="1286"/>
      <c r="V8" s="1286"/>
    </row>
    <row r="9" spans="1:22" x14ac:dyDescent="0.25">
      <c r="A9" s="1298" t="s">
        <v>114</v>
      </c>
      <c r="B9" s="1290">
        <f>totrpt2!AB14</f>
        <v>142.30000000000001</v>
      </c>
      <c r="C9" s="1290">
        <f>totrpt2!AC14</f>
        <v>168.3</v>
      </c>
      <c r="D9" s="1290">
        <f>totrpt2!AD14</f>
        <v>224.6</v>
      </c>
      <c r="E9" s="1290"/>
      <c r="F9" s="1294">
        <f t="shared" si="0"/>
        <v>0.18271257905832747</v>
      </c>
      <c r="G9" s="1296">
        <f t="shared" si="1"/>
        <v>609.09999999999991</v>
      </c>
      <c r="H9" s="1296">
        <f t="shared" si="2"/>
        <v>682.3</v>
      </c>
      <c r="I9" s="1296">
        <v>224.6</v>
      </c>
      <c r="J9" s="1296"/>
      <c r="K9" s="1294">
        <f t="shared" si="3"/>
        <v>0.12017731078640627</v>
      </c>
      <c r="L9" s="1286"/>
      <c r="M9" s="1286"/>
      <c r="N9" s="1286"/>
      <c r="O9" s="1286"/>
      <c r="P9" s="1286"/>
      <c r="Q9" s="1286"/>
      <c r="R9" s="1286"/>
      <c r="S9" s="1286"/>
      <c r="T9" s="1286"/>
      <c r="U9" s="1286"/>
      <c r="V9" s="1286"/>
    </row>
    <row r="10" spans="1:22" x14ac:dyDescent="0.25">
      <c r="A10" s="1298" t="s">
        <v>115</v>
      </c>
      <c r="B10" s="1290">
        <f>totrpt2!AB15</f>
        <v>148.19999999999999</v>
      </c>
      <c r="C10" s="1290">
        <f>totrpt2!AC15</f>
        <v>171.4</v>
      </c>
      <c r="D10" s="1290">
        <f>totrpt2!AD15</f>
        <v>226.9</v>
      </c>
      <c r="E10" s="1290"/>
      <c r="F10" s="1294">
        <f t="shared" si="0"/>
        <v>0.15654520917678824</v>
      </c>
      <c r="G10" s="1296">
        <f t="shared" si="1"/>
        <v>757.3</v>
      </c>
      <c r="H10" s="1296">
        <f t="shared" si="2"/>
        <v>853.69999999999993</v>
      </c>
      <c r="I10" s="1296">
        <v>226.9</v>
      </c>
      <c r="J10" s="1296"/>
      <c r="K10" s="1294">
        <f t="shared" si="3"/>
        <v>0.12729433513799021</v>
      </c>
      <c r="L10" s="1286"/>
      <c r="M10" s="1286"/>
      <c r="N10" s="1286"/>
      <c r="O10" s="1286"/>
      <c r="P10" s="1286"/>
      <c r="Q10" s="1286"/>
      <c r="R10" s="1286"/>
      <c r="S10" s="1286"/>
      <c r="T10" s="1286"/>
      <c r="U10" s="1286"/>
      <c r="V10" s="1286"/>
    </row>
    <row r="11" spans="1:22" x14ac:dyDescent="0.25">
      <c r="A11" s="1298" t="s">
        <v>116</v>
      </c>
      <c r="B11" s="1290">
        <f>totrpt2!AB16</f>
        <v>132.30000000000001</v>
      </c>
      <c r="C11" s="1290">
        <f>totrpt2!AC16</f>
        <v>168.5</v>
      </c>
      <c r="D11" s="1290">
        <f>totrpt2!AD16</f>
        <v>178.8</v>
      </c>
      <c r="E11" s="1290"/>
      <c r="F11" s="1294">
        <f t="shared" si="0"/>
        <v>0.27362055933484491</v>
      </c>
      <c r="G11" s="1296">
        <f t="shared" si="1"/>
        <v>889.59999999999991</v>
      </c>
      <c r="H11" s="1296">
        <f t="shared" si="2"/>
        <v>1022.1999999999999</v>
      </c>
      <c r="I11" s="1296">
        <v>178.8</v>
      </c>
      <c r="J11" s="1296"/>
      <c r="K11" s="1294">
        <f t="shared" si="3"/>
        <v>0.1490557553956835</v>
      </c>
      <c r="L11" s="1286"/>
      <c r="M11" s="1286"/>
      <c r="N11" s="1286"/>
      <c r="O11" s="1286"/>
      <c r="P11" s="1286"/>
      <c r="Q11" s="1286"/>
      <c r="R11" s="1286"/>
      <c r="S11" s="1286"/>
      <c r="T11" s="1286"/>
      <c r="U11" s="1286"/>
      <c r="V11" s="1286"/>
    </row>
    <row r="12" spans="1:22" x14ac:dyDescent="0.25">
      <c r="A12" s="1298" t="s">
        <v>117</v>
      </c>
      <c r="B12" s="1290">
        <f>totrpt2!AB17</f>
        <v>117</v>
      </c>
      <c r="C12" s="1290">
        <f>totrpt2!AC17</f>
        <v>168.2</v>
      </c>
      <c r="D12" s="1290">
        <f>totrpt2!AD17</f>
        <v>131.6</v>
      </c>
      <c r="E12" s="1290"/>
      <c r="F12" s="1294">
        <f t="shared" si="0"/>
        <v>0.4376068376068375</v>
      </c>
      <c r="G12" s="1296">
        <f t="shared" si="1"/>
        <v>1006.5999999999999</v>
      </c>
      <c r="H12" s="1296">
        <f t="shared" si="2"/>
        <v>1190.3999999999999</v>
      </c>
      <c r="I12" s="1296">
        <v>131.6</v>
      </c>
      <c r="J12" s="1296"/>
      <c r="K12" s="1294">
        <f t="shared" si="3"/>
        <v>0.18259487383270412</v>
      </c>
      <c r="L12" s="1286"/>
      <c r="M12" s="1286"/>
      <c r="N12" s="1286"/>
      <c r="O12" s="1286"/>
      <c r="P12" s="1286"/>
      <c r="Q12" s="1286"/>
      <c r="R12" s="1286"/>
      <c r="S12" s="1286"/>
      <c r="T12" s="1286"/>
      <c r="U12" s="1286"/>
      <c r="V12" s="1286"/>
    </row>
    <row r="13" spans="1:22" x14ac:dyDescent="0.25">
      <c r="A13" s="1298" t="s">
        <v>118</v>
      </c>
      <c r="B13" s="1290">
        <f>totrpt2!AB18</f>
        <v>82.3</v>
      </c>
      <c r="C13" s="1290">
        <f>totrpt2!AC18</f>
        <v>120.6</v>
      </c>
      <c r="D13" s="1290">
        <f>totrpt2!AD18</f>
        <v>115.1</v>
      </c>
      <c r="E13" s="1290"/>
      <c r="F13" s="1294">
        <f t="shared" si="0"/>
        <v>0.46537059538274606</v>
      </c>
      <c r="G13" s="1296">
        <f t="shared" si="1"/>
        <v>1088.8999999999999</v>
      </c>
      <c r="H13" s="1296">
        <f t="shared" si="2"/>
        <v>1310.9999999999998</v>
      </c>
      <c r="I13" s="1296">
        <v>115.1</v>
      </c>
      <c r="J13" s="1296"/>
      <c r="K13" s="1294">
        <f t="shared" si="3"/>
        <v>0.20396730645605651</v>
      </c>
      <c r="L13" s="1286"/>
      <c r="M13" s="1286"/>
      <c r="N13" s="1286"/>
      <c r="O13" s="1286"/>
      <c r="P13" s="1286"/>
      <c r="Q13" s="1286"/>
      <c r="R13" s="1286"/>
      <c r="S13" s="1286"/>
      <c r="T13" s="1286"/>
      <c r="U13" s="1286"/>
      <c r="V13" s="1286"/>
    </row>
    <row r="14" spans="1:22" x14ac:dyDescent="0.25">
      <c r="A14" s="1298" t="s">
        <v>119</v>
      </c>
      <c r="B14" s="1290">
        <f>totrpt2!AB19</f>
        <v>55.8</v>
      </c>
      <c r="C14" s="1290">
        <f>totrpt2!AC19</f>
        <v>127.9</v>
      </c>
      <c r="D14" s="1290">
        <f>totrpt2!AD19</f>
        <v>48.9</v>
      </c>
      <c r="E14" s="1290"/>
      <c r="F14" s="1294">
        <f t="shared" si="0"/>
        <v>1.2921146953405021</v>
      </c>
      <c r="G14" s="1296">
        <f t="shared" si="1"/>
        <v>1144.6999999999998</v>
      </c>
      <c r="H14" s="1296">
        <f t="shared" si="2"/>
        <v>1438.8999999999999</v>
      </c>
      <c r="I14" s="1296">
        <v>48.9</v>
      </c>
      <c r="J14" s="1296"/>
      <c r="K14" s="1294">
        <f t="shared" si="3"/>
        <v>0.25701057045514114</v>
      </c>
      <c r="L14" s="1286"/>
      <c r="M14" s="1286"/>
      <c r="N14" s="1286"/>
      <c r="O14" s="1286"/>
      <c r="P14" s="1286"/>
      <c r="Q14" s="1286"/>
      <c r="R14" s="1286"/>
      <c r="S14" s="1286"/>
      <c r="T14" s="1286"/>
      <c r="U14" s="1286"/>
      <c r="V14" s="1286"/>
    </row>
    <row r="15" spans="1:22" x14ac:dyDescent="0.25">
      <c r="A15" s="1298"/>
      <c r="B15" s="1287"/>
      <c r="C15" s="1287"/>
      <c r="D15" s="1287"/>
      <c r="E15" s="1287"/>
      <c r="F15" s="1295"/>
      <c r="G15" s="1295"/>
      <c r="H15" s="1295"/>
      <c r="I15" s="1295"/>
      <c r="J15" s="1295"/>
      <c r="K15" s="1295"/>
      <c r="L15" s="1286"/>
      <c r="M15" s="1286"/>
      <c r="N15" s="1286"/>
      <c r="O15" s="1286"/>
      <c r="P15" s="1286"/>
      <c r="Q15" s="1286"/>
      <c r="R15" s="1286"/>
      <c r="S15" s="1286"/>
      <c r="T15" s="1286"/>
      <c r="U15" s="1286"/>
      <c r="V15" s="1286"/>
    </row>
    <row r="16" spans="1:22" x14ac:dyDescent="0.25">
      <c r="A16" s="1298"/>
      <c r="B16" s="1287"/>
      <c r="C16" s="1287"/>
      <c r="D16" s="1287"/>
      <c r="E16" s="1287"/>
      <c r="F16" s="1295"/>
      <c r="G16" s="1295"/>
      <c r="H16" s="1295"/>
      <c r="I16" s="1295"/>
      <c r="J16" s="1295"/>
      <c r="K16" s="1295"/>
      <c r="L16" s="1286"/>
      <c r="M16" s="1286"/>
      <c r="N16" s="1286"/>
      <c r="O16" s="1286"/>
      <c r="P16" s="1286"/>
      <c r="Q16" s="1286"/>
      <c r="R16" s="1286"/>
      <c r="S16" s="1286"/>
      <c r="T16" s="1286"/>
      <c r="U16" s="1286"/>
      <c r="V16" s="1286"/>
    </row>
    <row r="17" spans="1:22" x14ac:dyDescent="0.25">
      <c r="A17" s="1298"/>
      <c r="B17" s="1287"/>
      <c r="C17" s="1287"/>
      <c r="D17" s="1287"/>
      <c r="E17" s="1287"/>
      <c r="F17" s="1295"/>
      <c r="G17" s="1295"/>
      <c r="H17" s="1295"/>
      <c r="I17" s="1295"/>
      <c r="J17" s="1295"/>
      <c r="K17" s="1295"/>
      <c r="L17" s="1286"/>
      <c r="M17" s="1286"/>
      <c r="N17" s="1286"/>
      <c r="O17" s="1286"/>
      <c r="P17" s="1286"/>
      <c r="Q17" s="1286"/>
      <c r="R17" s="1286"/>
      <c r="S17" s="1286"/>
      <c r="T17" s="1286"/>
      <c r="U17" s="1286"/>
      <c r="V17" s="1286"/>
    </row>
    <row r="18" spans="1:22" x14ac:dyDescent="0.25">
      <c r="B18" s="1287"/>
      <c r="C18" s="1287"/>
      <c r="D18" s="1287"/>
      <c r="E18" s="1287"/>
      <c r="F18" s="1287"/>
      <c r="G18" s="1287"/>
      <c r="H18" s="1287"/>
      <c r="I18" s="1287"/>
      <c r="J18" s="1287"/>
      <c r="K18" s="1287"/>
      <c r="L18" s="1286"/>
      <c r="M18" s="1286"/>
      <c r="N18" s="1286"/>
      <c r="O18" s="1286"/>
      <c r="P18" s="1286"/>
      <c r="Q18" s="1286"/>
      <c r="R18" s="1286"/>
      <c r="S18" s="1286"/>
      <c r="T18" s="1286"/>
      <c r="U18" s="1286"/>
      <c r="V18" s="1286"/>
    </row>
    <row r="19" spans="1:22" x14ac:dyDescent="0.25">
      <c r="A19" s="1707"/>
      <c r="B19" s="1707"/>
      <c r="C19" s="1707"/>
      <c r="D19" s="1707"/>
      <c r="E19" s="1707"/>
      <c r="F19" s="1707"/>
      <c r="G19" s="1707"/>
      <c r="H19" s="1707"/>
      <c r="I19" s="1707"/>
      <c r="J19" s="1707"/>
      <c r="K19" s="1707"/>
      <c r="L19" s="1286"/>
      <c r="M19" s="1286"/>
      <c r="N19" s="1286"/>
      <c r="O19" s="1433">
        <v>69</v>
      </c>
      <c r="P19" s="1286"/>
      <c r="Q19" s="1286"/>
      <c r="R19" s="1286"/>
      <c r="S19" s="1286"/>
      <c r="T19" s="1286"/>
      <c r="U19" s="1286"/>
      <c r="V19" s="1286"/>
    </row>
    <row r="20" spans="1:22" x14ac:dyDescent="0.25">
      <c r="A20" s="1288"/>
      <c r="B20" s="1292"/>
      <c r="C20" s="1292"/>
      <c r="D20" s="1292"/>
      <c r="E20" s="1292"/>
      <c r="F20" s="1292"/>
      <c r="G20" s="1292"/>
      <c r="H20" s="1292"/>
      <c r="I20" s="1292"/>
      <c r="J20" s="1292"/>
      <c r="K20" s="1292"/>
      <c r="L20" s="1287"/>
      <c r="M20" s="1286"/>
      <c r="N20" s="1286"/>
      <c r="O20" s="1286"/>
      <c r="P20" s="1286"/>
      <c r="Q20" s="1286"/>
      <c r="R20" s="1286"/>
      <c r="S20" s="1286"/>
      <c r="T20" s="1286"/>
      <c r="U20" s="1286"/>
      <c r="V20" s="1286"/>
    </row>
    <row r="21" spans="1:22" x14ac:dyDescent="0.25">
      <c r="A21" s="1298"/>
      <c r="B21" s="1290"/>
      <c r="C21" s="1290"/>
      <c r="D21" s="1290"/>
      <c r="E21" s="1290"/>
      <c r="F21" s="1294"/>
      <c r="G21" s="1296"/>
      <c r="H21" s="1296"/>
      <c r="I21" s="1296"/>
      <c r="J21" s="1296"/>
      <c r="K21" s="1294"/>
      <c r="L21" s="1287"/>
      <c r="M21" s="1286"/>
      <c r="N21" s="1286"/>
      <c r="O21" s="1286"/>
      <c r="P21" s="1286"/>
      <c r="Q21" s="1286"/>
      <c r="R21" s="1286"/>
      <c r="S21" s="1286"/>
      <c r="T21" s="1286"/>
      <c r="U21" s="1286"/>
      <c r="V21" s="1286"/>
    </row>
    <row r="22" spans="1:22" x14ac:dyDescent="0.25">
      <c r="A22" s="1298"/>
      <c r="B22" s="1290"/>
      <c r="C22" s="1290"/>
      <c r="D22" s="1290"/>
      <c r="E22" s="1290"/>
      <c r="F22" s="1294"/>
      <c r="G22" s="1296"/>
      <c r="H22" s="1296"/>
      <c r="I22" s="1296"/>
      <c r="J22" s="1296"/>
      <c r="K22" s="1294"/>
      <c r="L22" s="1291"/>
    </row>
    <row r="23" spans="1:22" x14ac:dyDescent="0.25">
      <c r="A23" s="1298"/>
      <c r="B23" s="1290"/>
      <c r="C23" s="1290"/>
      <c r="D23" s="1290"/>
      <c r="E23" s="1290"/>
      <c r="F23" s="1294"/>
      <c r="G23" s="1296"/>
      <c r="H23" s="1296"/>
      <c r="I23" s="1296"/>
      <c r="J23" s="1296"/>
      <c r="K23" s="1294"/>
      <c r="L23" s="1291"/>
    </row>
    <row r="24" spans="1:22" x14ac:dyDescent="0.25">
      <c r="A24" s="1298"/>
      <c r="B24" s="1290"/>
      <c r="C24" s="1290"/>
      <c r="D24" s="1290"/>
      <c r="E24" s="1290"/>
      <c r="F24" s="1294"/>
      <c r="G24" s="1296"/>
      <c r="H24" s="1296"/>
      <c r="I24" s="1296"/>
      <c r="J24" s="1296"/>
      <c r="K24" s="1294"/>
      <c r="L24" s="1291"/>
    </row>
    <row r="25" spans="1:22" x14ac:dyDescent="0.25">
      <c r="A25" s="1298"/>
      <c r="B25" s="1290"/>
      <c r="C25" s="1290"/>
      <c r="D25" s="1290"/>
      <c r="E25" s="1290"/>
      <c r="F25" s="1294"/>
      <c r="G25" s="1296"/>
      <c r="H25" s="1296"/>
      <c r="I25" s="1296"/>
      <c r="J25" s="1296"/>
      <c r="K25" s="1294"/>
      <c r="L25" s="1291"/>
    </row>
    <row r="26" spans="1:22" x14ac:dyDescent="0.25">
      <c r="A26" s="1298"/>
      <c r="B26" s="1289"/>
      <c r="C26" s="1289"/>
      <c r="D26" s="1289"/>
      <c r="E26" s="1289"/>
      <c r="F26" s="1294"/>
      <c r="G26" s="1296"/>
      <c r="H26" s="1296"/>
      <c r="I26" s="1296"/>
      <c r="J26" s="1296"/>
      <c r="K26" s="1294"/>
      <c r="L26" s="1291"/>
    </row>
    <row r="27" spans="1:22" x14ac:dyDescent="0.25">
      <c r="A27" s="1298"/>
      <c r="B27" s="1290"/>
      <c r="C27" s="1290"/>
      <c r="D27" s="1290"/>
      <c r="E27" s="1290"/>
      <c r="F27" s="1294"/>
      <c r="G27" s="1296"/>
      <c r="H27" s="1296"/>
      <c r="I27" s="1296"/>
      <c r="J27" s="1296"/>
      <c r="K27" s="1294"/>
      <c r="L27" s="1291"/>
    </row>
    <row r="28" spans="1:22" x14ac:dyDescent="0.25">
      <c r="A28" s="1298"/>
      <c r="B28" s="1290"/>
      <c r="C28" s="1290"/>
      <c r="D28" s="1290"/>
      <c r="E28" s="1290"/>
      <c r="F28" s="1294"/>
      <c r="G28" s="1296"/>
      <c r="H28" s="1296"/>
      <c r="I28" s="1296"/>
      <c r="J28" s="1296"/>
      <c r="K28" s="1294"/>
      <c r="L28" s="1291"/>
    </row>
    <row r="29" spans="1:22" x14ac:dyDescent="0.25">
      <c r="A29" s="1298"/>
      <c r="B29" s="1293"/>
      <c r="C29" s="1293"/>
      <c r="D29" s="1293"/>
      <c r="E29" s="1293"/>
      <c r="F29" s="1294"/>
      <c r="G29" s="1296"/>
      <c r="H29" s="1296"/>
      <c r="I29" s="1296"/>
      <c r="J29" s="1296"/>
      <c r="K29" s="1294"/>
      <c r="L29" s="1291"/>
    </row>
    <row r="30" spans="1:22" x14ac:dyDescent="0.25">
      <c r="A30" s="1298"/>
      <c r="B30" s="1293"/>
      <c r="C30" s="1293"/>
      <c r="D30" s="1293"/>
      <c r="E30" s="1293"/>
      <c r="F30" s="1294"/>
      <c r="G30" s="1297"/>
      <c r="H30" s="1297"/>
      <c r="I30" s="1297"/>
      <c r="J30" s="1297"/>
      <c r="K30" s="1294"/>
      <c r="L30" s="1291"/>
    </row>
    <row r="31" spans="1:22" x14ac:dyDescent="0.25">
      <c r="A31" s="1298"/>
      <c r="B31" s="1293"/>
      <c r="C31" s="1293"/>
      <c r="D31" s="1293"/>
      <c r="E31" s="1293"/>
      <c r="F31" s="1294"/>
      <c r="G31" s="1297"/>
      <c r="H31" s="1297"/>
      <c r="I31" s="1297"/>
      <c r="J31" s="1297"/>
      <c r="K31" s="1294"/>
      <c r="L31" s="1291"/>
    </row>
    <row r="32" spans="1:22" x14ac:dyDescent="0.25">
      <c r="A32" s="1298"/>
      <c r="B32" s="1293"/>
      <c r="C32" s="1293"/>
      <c r="D32" s="1293"/>
      <c r="E32" s="1293"/>
      <c r="F32" s="1294"/>
      <c r="G32" s="1297"/>
      <c r="H32" s="1297"/>
      <c r="I32" s="1297"/>
      <c r="J32" s="1297"/>
      <c r="K32" s="1294"/>
      <c r="L32" s="1291"/>
    </row>
    <row r="33" spans="1:11" x14ac:dyDescent="0.25">
      <c r="A33" s="1288"/>
      <c r="B33" s="1288"/>
      <c r="C33" s="1288"/>
      <c r="D33" s="1288"/>
      <c r="E33" s="1288"/>
      <c r="F33" s="1288"/>
      <c r="G33" s="1288"/>
      <c r="H33" s="1288"/>
      <c r="I33" s="1288"/>
      <c r="J33" s="1288"/>
      <c r="K33" s="1288"/>
    </row>
    <row r="34" spans="1:11" x14ac:dyDescent="0.25">
      <c r="A34" s="1288"/>
      <c r="B34" s="1288"/>
      <c r="C34" s="1288"/>
      <c r="D34" s="1288"/>
      <c r="E34" s="1288"/>
      <c r="F34" s="1288"/>
      <c r="G34" s="1288"/>
      <c r="H34" s="1288"/>
      <c r="I34" s="1288"/>
      <c r="J34" s="1288"/>
      <c r="K34" s="1288"/>
    </row>
    <row r="37" spans="1:11" x14ac:dyDescent="0.25">
      <c r="A37" s="1287"/>
      <c r="B37" s="1292"/>
      <c r="C37" s="1292"/>
      <c r="D37" s="1292"/>
      <c r="E37" s="1292"/>
      <c r="F37" s="1292"/>
      <c r="G37" s="1292"/>
      <c r="H37" s="1292"/>
      <c r="I37" s="1292"/>
      <c r="J37" s="1292"/>
      <c r="K37" s="1292"/>
    </row>
    <row r="38" spans="1:11" x14ac:dyDescent="0.25">
      <c r="A38" s="1298"/>
      <c r="B38" s="1290"/>
      <c r="C38" s="1290"/>
      <c r="D38" s="1290"/>
      <c r="E38" s="1290"/>
      <c r="F38" s="1294"/>
      <c r="G38" s="1296"/>
      <c r="H38" s="1296"/>
      <c r="I38" s="1296"/>
      <c r="J38" s="1296"/>
      <c r="K38" s="1294"/>
    </row>
    <row r="39" spans="1:11" x14ac:dyDescent="0.25">
      <c r="A39" s="1298"/>
      <c r="B39" s="1290"/>
      <c r="C39" s="1290"/>
      <c r="D39" s="1290"/>
      <c r="E39" s="1290"/>
      <c r="F39" s="1294"/>
      <c r="G39" s="1296"/>
      <c r="H39" s="1296"/>
      <c r="I39" s="1296"/>
      <c r="J39" s="1296"/>
      <c r="K39" s="1294"/>
    </row>
    <row r="40" spans="1:11" x14ac:dyDescent="0.25">
      <c r="A40" s="1298"/>
      <c r="B40" s="1290"/>
      <c r="C40" s="1290"/>
      <c r="D40" s="1290"/>
      <c r="E40" s="1290"/>
      <c r="F40" s="1294"/>
      <c r="G40" s="1296"/>
      <c r="H40" s="1296"/>
      <c r="I40" s="1296"/>
      <c r="J40" s="1296"/>
      <c r="K40" s="1294"/>
    </row>
    <row r="41" spans="1:11" x14ac:dyDescent="0.25">
      <c r="A41" s="1298"/>
      <c r="B41" s="1290"/>
      <c r="C41" s="1290"/>
      <c r="D41" s="1290"/>
      <c r="E41" s="1290"/>
      <c r="F41" s="1294"/>
      <c r="G41" s="1296"/>
      <c r="H41" s="1296"/>
      <c r="I41" s="1296"/>
      <c r="J41" s="1296"/>
      <c r="K41" s="1294"/>
    </row>
    <row r="42" spans="1:11" x14ac:dyDescent="0.25">
      <c r="A42" s="1298"/>
      <c r="B42" s="1290"/>
      <c r="C42" s="1290"/>
      <c r="D42" s="1290"/>
      <c r="E42" s="1290"/>
      <c r="F42" s="1294"/>
      <c r="G42" s="1296"/>
      <c r="H42" s="1296"/>
      <c r="I42" s="1296"/>
      <c r="J42" s="1296"/>
      <c r="K42" s="1294"/>
    </row>
    <row r="43" spans="1:11" x14ac:dyDescent="0.25">
      <c r="A43" s="1298"/>
      <c r="B43" s="1290"/>
      <c r="C43" s="1290"/>
      <c r="D43" s="1290"/>
      <c r="E43" s="1290"/>
      <c r="F43" s="1294"/>
      <c r="G43" s="1296"/>
      <c r="H43" s="1296"/>
      <c r="I43" s="1296"/>
      <c r="J43" s="1296"/>
      <c r="K43" s="1294"/>
    </row>
    <row r="44" spans="1:11" x14ac:dyDescent="0.25">
      <c r="A44" s="1298"/>
      <c r="B44" s="1290"/>
      <c r="C44" s="1290"/>
      <c r="D44" s="1290"/>
      <c r="E44" s="1290"/>
      <c r="F44" s="1294"/>
      <c r="G44" s="1296"/>
      <c r="H44" s="1296"/>
      <c r="I44" s="1296"/>
      <c r="J44" s="1296"/>
      <c r="K44" s="1294"/>
    </row>
    <row r="45" spans="1:11" x14ac:dyDescent="0.25">
      <c r="A45" s="1298"/>
      <c r="B45" s="1290"/>
      <c r="C45" s="1290"/>
      <c r="D45" s="1290"/>
      <c r="E45" s="1290"/>
      <c r="F45" s="1294"/>
      <c r="G45" s="1296"/>
      <c r="H45" s="1296"/>
      <c r="I45" s="1296"/>
      <c r="J45" s="1296"/>
      <c r="K45" s="1294"/>
    </row>
    <row r="46" spans="1:11" x14ac:dyDescent="0.25">
      <c r="A46" s="1298"/>
      <c r="B46" s="1290"/>
      <c r="C46" s="1290"/>
      <c r="D46" s="1290"/>
      <c r="E46" s="1290"/>
      <c r="F46" s="1294"/>
      <c r="G46" s="1296"/>
      <c r="H46" s="1296"/>
      <c r="I46" s="1296"/>
      <c r="J46" s="1296"/>
      <c r="K46" s="1294"/>
    </row>
    <row r="47" spans="1:11" x14ac:dyDescent="0.25">
      <c r="A47" s="1298"/>
      <c r="B47" s="1290"/>
      <c r="C47" s="1290"/>
      <c r="D47" s="1290"/>
      <c r="E47" s="1290"/>
      <c r="F47" s="1294"/>
      <c r="G47" s="1296"/>
      <c r="H47" s="1296"/>
      <c r="I47" s="1296"/>
      <c r="J47" s="1296"/>
      <c r="K47" s="1294"/>
    </row>
    <row r="48" spans="1:11" x14ac:dyDescent="0.25">
      <c r="A48" s="1298"/>
      <c r="B48" s="1290"/>
      <c r="C48" s="1290"/>
      <c r="D48" s="1290"/>
      <c r="E48" s="1290"/>
      <c r="F48" s="1294"/>
      <c r="G48" s="1296"/>
      <c r="H48" s="1296"/>
      <c r="I48" s="1296"/>
      <c r="J48" s="1296"/>
      <c r="K48" s="1294"/>
    </row>
    <row r="49" spans="1:11" x14ac:dyDescent="0.25">
      <c r="A49" s="1298"/>
      <c r="B49" s="1290"/>
      <c r="C49" s="1290"/>
      <c r="D49" s="1290"/>
      <c r="E49" s="1290"/>
      <c r="F49" s="1294"/>
      <c r="G49" s="1296"/>
      <c r="H49" s="1296"/>
      <c r="I49" s="1296"/>
      <c r="J49" s="1296"/>
      <c r="K49" s="1294"/>
    </row>
    <row r="173" spans="34:34" x14ac:dyDescent="0.25">
      <c r="AH173">
        <v>541.70000000000005</v>
      </c>
    </row>
    <row r="174" spans="34:34" x14ac:dyDescent="0.25">
      <c r="AH174">
        <f>996.6-AG173</f>
        <v>996.6</v>
      </c>
    </row>
  </sheetData>
  <mergeCells count="2">
    <mergeCell ref="A1:K1"/>
    <mergeCell ref="A19:K19"/>
  </mergeCells>
  <printOptions horizontalCentered="1" verticalCentered="1"/>
  <pageMargins left="0.2" right="0.2" top="0.5" bottom="0.5" header="0.3" footer="0.3"/>
  <pageSetup paperSize="5" scale="8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50"/>
  <sheetViews>
    <sheetView zoomScale="80" workbookViewId="0">
      <selection activeCell="G26" sqref="G26"/>
    </sheetView>
  </sheetViews>
  <sheetFormatPr defaultColWidth="9" defaultRowHeight="15" x14ac:dyDescent="0.2"/>
  <cols>
    <col min="1" max="1" width="13.375" style="2" customWidth="1"/>
    <col min="2" max="2" width="5.25" style="2" customWidth="1"/>
    <col min="3" max="5" width="9" style="2" customWidth="1"/>
    <col min="6" max="6" width="3.75" style="2" customWidth="1"/>
    <col min="7" max="7" width="13.375" style="2" customWidth="1"/>
    <col min="8" max="8" width="5.5" style="2" customWidth="1"/>
    <col min="9" max="9" width="9.5" style="2" bestFit="1" customWidth="1"/>
    <col min="10" max="11" width="9" style="2" customWidth="1"/>
    <col min="12" max="12" width="3.25" style="2" customWidth="1"/>
    <col min="13" max="13" width="12.625" style="2" customWidth="1"/>
    <col min="14" max="14" width="5.5" style="2" customWidth="1"/>
    <col min="15" max="16384" width="9" style="2"/>
  </cols>
  <sheetData>
    <row r="1" spans="1:17" ht="15.75" x14ac:dyDescent="0.25">
      <c r="A1" s="1" t="s">
        <v>767</v>
      </c>
    </row>
    <row r="3" spans="1:17" ht="23.25" customHeight="1" x14ac:dyDescent="0.25">
      <c r="A3" s="61" t="s">
        <v>131</v>
      </c>
      <c r="B3" s="61"/>
      <c r="C3" s="62"/>
      <c r="D3" s="62"/>
      <c r="E3" s="62"/>
      <c r="F3" s="18"/>
      <c r="G3" s="61" t="s">
        <v>132</v>
      </c>
      <c r="H3" s="61"/>
      <c r="I3" s="62"/>
      <c r="J3" s="62"/>
      <c r="K3" s="62"/>
      <c r="L3" s="18"/>
      <c r="M3" s="696" t="s">
        <v>0</v>
      </c>
      <c r="N3" s="697"/>
      <c r="O3" s="697"/>
      <c r="P3" s="697"/>
      <c r="Q3" s="697"/>
    </row>
    <row r="4" spans="1:17" ht="15.75" x14ac:dyDescent="0.25">
      <c r="A4" s="1" t="s">
        <v>646</v>
      </c>
      <c r="C4" s="6">
        <f>C9+C16+C26+C33+C40</f>
        <v>2911</v>
      </c>
      <c r="D4" s="398" t="s">
        <v>743</v>
      </c>
      <c r="G4" s="1" t="s">
        <v>646</v>
      </c>
      <c r="I4" s="377">
        <f>I9+I16+I23</f>
        <v>2968.04</v>
      </c>
      <c r="M4" s="691"/>
      <c r="N4" s="691"/>
      <c r="O4" s="691"/>
      <c r="P4" s="691"/>
      <c r="Q4" s="691"/>
    </row>
    <row r="5" spans="1:17" ht="15.75" x14ac:dyDescent="0.25">
      <c r="A5" s="2" t="s">
        <v>934</v>
      </c>
      <c r="C5" s="443">
        <f>C12+C19+C29+C36+C43+I48</f>
        <v>2491.35</v>
      </c>
      <c r="D5" s="444">
        <f>C5+55.37</f>
        <v>2546.7199999999998</v>
      </c>
      <c r="E5" s="399" t="s">
        <v>817</v>
      </c>
      <c r="G5" s="2" t="s">
        <v>934</v>
      </c>
      <c r="I5" s="444">
        <f>I12+I19+I26</f>
        <v>2522.8339999999998</v>
      </c>
      <c r="M5" s="698" t="s">
        <v>742</v>
      </c>
      <c r="N5" s="691"/>
      <c r="O5" s="699">
        <f>O12+O18+O24</f>
        <v>136.05099999999999</v>
      </c>
      <c r="P5" s="690"/>
      <c r="Q5" s="691"/>
    </row>
    <row r="6" spans="1:17" x14ac:dyDescent="0.2">
      <c r="A6" s="439" t="s">
        <v>813</v>
      </c>
      <c r="B6" s="440"/>
      <c r="C6" s="441">
        <v>2400.17</v>
      </c>
      <c r="D6" s="442"/>
      <c r="E6" s="442"/>
      <c r="F6" s="442"/>
      <c r="G6" s="439" t="s">
        <v>813</v>
      </c>
      <c r="H6" s="440"/>
      <c r="I6" s="441">
        <v>2374.4319999999998</v>
      </c>
      <c r="M6" s="691"/>
      <c r="N6" s="691"/>
      <c r="O6" s="691"/>
      <c r="P6" s="691"/>
      <c r="Q6" s="691"/>
    </row>
    <row r="7" spans="1:17" x14ac:dyDescent="0.2">
      <c r="M7" s="691"/>
      <c r="N7" s="691"/>
      <c r="O7" s="691"/>
      <c r="P7" s="691"/>
      <c r="Q7" s="691"/>
    </row>
    <row r="8" spans="1:17" ht="15.75" x14ac:dyDescent="0.25">
      <c r="A8" s="1" t="s">
        <v>133</v>
      </c>
      <c r="C8" s="8" t="s">
        <v>631</v>
      </c>
      <c r="G8" s="1" t="s">
        <v>134</v>
      </c>
      <c r="I8" s="8" t="s">
        <v>632</v>
      </c>
      <c r="M8" s="690" t="s">
        <v>135</v>
      </c>
      <c r="N8" s="691"/>
      <c r="O8" s="692" t="s">
        <v>633</v>
      </c>
      <c r="P8" s="691"/>
      <c r="Q8" s="691"/>
    </row>
    <row r="9" spans="1:17" x14ac:dyDescent="0.2">
      <c r="A9" s="2" t="s">
        <v>136</v>
      </c>
      <c r="C9" s="6">
        <v>244.9</v>
      </c>
      <c r="G9" s="2" t="s">
        <v>136</v>
      </c>
      <c r="I9" s="6">
        <v>1438.12</v>
      </c>
      <c r="M9" s="691" t="s">
        <v>136</v>
      </c>
      <c r="N9" s="691"/>
      <c r="O9" s="693">
        <v>2.2200000000000002</v>
      </c>
      <c r="P9" s="691"/>
      <c r="Q9" s="691"/>
    </row>
    <row r="10" spans="1:17" x14ac:dyDescent="0.2">
      <c r="A10" s="2" t="s">
        <v>104</v>
      </c>
      <c r="C10" s="6">
        <f>C9*0.95</f>
        <v>232.655</v>
      </c>
      <c r="D10" s="2" t="s">
        <v>137</v>
      </c>
      <c r="G10" s="2" t="s">
        <v>104</v>
      </c>
      <c r="I10" s="6">
        <f>I9*0.95</f>
        <v>1366.2139999999999</v>
      </c>
      <c r="J10" s="2" t="s">
        <v>137</v>
      </c>
      <c r="M10" s="691" t="s">
        <v>104</v>
      </c>
      <c r="N10" s="691"/>
      <c r="O10" s="693">
        <f>O9*0.95</f>
        <v>2.109</v>
      </c>
      <c r="P10" s="691" t="s">
        <v>137</v>
      </c>
      <c r="Q10" s="691"/>
    </row>
    <row r="11" spans="1:17" x14ac:dyDescent="0.2">
      <c r="A11" s="2" t="s">
        <v>125</v>
      </c>
      <c r="C11" s="6">
        <f>C9*0.9</f>
        <v>220.41</v>
      </c>
      <c r="D11" s="2" t="s">
        <v>138</v>
      </c>
      <c r="G11" s="2" t="s">
        <v>125</v>
      </c>
      <c r="I11" s="6">
        <f>I9*0.9</f>
        <v>1294.308</v>
      </c>
      <c r="J11" s="2" t="s">
        <v>138</v>
      </c>
      <c r="M11" s="691" t="s">
        <v>125</v>
      </c>
      <c r="N11" s="691"/>
      <c r="O11" s="693">
        <f>O9*0.9</f>
        <v>1.9980000000000002</v>
      </c>
      <c r="P11" s="691" t="s">
        <v>138</v>
      </c>
      <c r="Q11" s="691"/>
    </row>
    <row r="12" spans="1:17" x14ac:dyDescent="0.2">
      <c r="A12" s="2" t="s">
        <v>934</v>
      </c>
      <c r="C12" s="6">
        <f>C9*0.85</f>
        <v>208.16499999999999</v>
      </c>
      <c r="D12" s="2" t="s">
        <v>139</v>
      </c>
      <c r="G12" s="2" t="s">
        <v>934</v>
      </c>
      <c r="I12" s="6">
        <f>I9*0.85</f>
        <v>1222.4019999999998</v>
      </c>
      <c r="J12" s="2" t="s">
        <v>139</v>
      </c>
      <c r="M12" s="691" t="s">
        <v>742</v>
      </c>
      <c r="N12" s="691"/>
      <c r="O12" s="693">
        <f>O9*0.85</f>
        <v>1.887</v>
      </c>
      <c r="P12" s="691" t="s">
        <v>139</v>
      </c>
      <c r="Q12" s="691"/>
    </row>
    <row r="13" spans="1:17" x14ac:dyDescent="0.2">
      <c r="A13" s="440" t="s">
        <v>844</v>
      </c>
      <c r="C13" s="6">
        <f>$C$9*0.8</f>
        <v>195.92000000000002</v>
      </c>
      <c r="D13" s="2" t="s">
        <v>764</v>
      </c>
      <c r="G13" s="440" t="s">
        <v>844</v>
      </c>
      <c r="I13" s="6">
        <f>I9*0.8</f>
        <v>1150.4959999999999</v>
      </c>
      <c r="J13" s="2" t="s">
        <v>764</v>
      </c>
      <c r="M13" s="691"/>
      <c r="N13" s="691"/>
      <c r="O13" s="693"/>
      <c r="P13" s="691"/>
      <c r="Q13" s="691"/>
    </row>
    <row r="14" spans="1:17" ht="15.75" x14ac:dyDescent="0.25">
      <c r="M14" s="690" t="s">
        <v>134</v>
      </c>
      <c r="N14" s="691"/>
      <c r="O14" s="692" t="s">
        <v>636</v>
      </c>
      <c r="P14" s="691"/>
      <c r="Q14" s="691"/>
    </row>
    <row r="15" spans="1:17" ht="15.75" x14ac:dyDescent="0.25">
      <c r="A15" s="1" t="s">
        <v>140</v>
      </c>
      <c r="C15" s="8" t="s">
        <v>634</v>
      </c>
      <c r="G15" s="1" t="s">
        <v>141</v>
      </c>
      <c r="I15" s="8" t="s">
        <v>635</v>
      </c>
      <c r="M15" s="691" t="s">
        <v>136</v>
      </c>
      <c r="N15" s="691"/>
      <c r="O15" s="693">
        <v>148.5</v>
      </c>
      <c r="P15" s="691"/>
      <c r="Q15" s="691"/>
    </row>
    <row r="16" spans="1:17" x14ac:dyDescent="0.2">
      <c r="A16" s="2" t="s">
        <v>136</v>
      </c>
      <c r="C16" s="6">
        <v>609.26</v>
      </c>
      <c r="G16" s="2" t="s">
        <v>136</v>
      </c>
      <c r="I16" s="6">
        <v>838.46</v>
      </c>
      <c r="M16" s="691" t="s">
        <v>104</v>
      </c>
      <c r="N16" s="691"/>
      <c r="O16" s="693">
        <f>O15*0.95</f>
        <v>141.07499999999999</v>
      </c>
      <c r="P16" s="691" t="s">
        <v>137</v>
      </c>
      <c r="Q16" s="691"/>
    </row>
    <row r="17" spans="1:17" x14ac:dyDescent="0.2">
      <c r="A17" s="2" t="s">
        <v>104</v>
      </c>
      <c r="C17" s="6">
        <f>C16*0.95</f>
        <v>578.79699999999991</v>
      </c>
      <c r="D17" s="2" t="s">
        <v>137</v>
      </c>
      <c r="G17" s="2" t="s">
        <v>104</v>
      </c>
      <c r="I17" s="6">
        <f>I16*0.95</f>
        <v>796.53700000000003</v>
      </c>
      <c r="J17" s="2" t="s">
        <v>137</v>
      </c>
      <c r="M17" s="691" t="s">
        <v>125</v>
      </c>
      <c r="N17" s="691"/>
      <c r="O17" s="693">
        <f>O15*0.9</f>
        <v>133.65</v>
      </c>
      <c r="P17" s="691" t="s">
        <v>138</v>
      </c>
      <c r="Q17" s="691"/>
    </row>
    <row r="18" spans="1:17" x14ac:dyDescent="0.2">
      <c r="A18" s="2" t="s">
        <v>125</v>
      </c>
      <c r="C18" s="6">
        <f>C16*0.9</f>
        <v>548.33400000000006</v>
      </c>
      <c r="D18" s="2" t="s">
        <v>138</v>
      </c>
      <c r="G18" s="2" t="s">
        <v>125</v>
      </c>
      <c r="I18" s="6">
        <f>I16*0.9</f>
        <v>754.61400000000003</v>
      </c>
      <c r="J18" s="2" t="s">
        <v>138</v>
      </c>
      <c r="M18" s="691" t="s">
        <v>742</v>
      </c>
      <c r="N18" s="691"/>
      <c r="O18" s="693">
        <f>O15*0.85</f>
        <v>126.22499999999999</v>
      </c>
      <c r="P18" s="691" t="s">
        <v>139</v>
      </c>
      <c r="Q18" s="691"/>
    </row>
    <row r="19" spans="1:17" x14ac:dyDescent="0.2">
      <c r="A19" s="2" t="s">
        <v>934</v>
      </c>
      <c r="C19" s="6">
        <f>C16*0.85</f>
        <v>517.87099999999998</v>
      </c>
      <c r="D19" s="2" t="s">
        <v>139</v>
      </c>
      <c r="G19" s="2" t="s">
        <v>934</v>
      </c>
      <c r="I19" s="6">
        <f>I16*0.85</f>
        <v>712.69100000000003</v>
      </c>
      <c r="J19" s="2" t="s">
        <v>139</v>
      </c>
      <c r="M19" s="691"/>
      <c r="N19" s="691"/>
      <c r="O19" s="693"/>
      <c r="P19" s="691"/>
      <c r="Q19" s="691"/>
    </row>
    <row r="20" spans="1:17" ht="15.75" x14ac:dyDescent="0.25">
      <c r="A20" s="440" t="s">
        <v>844</v>
      </c>
      <c r="C20" s="6">
        <f>C16*0.8</f>
        <v>487.40800000000002</v>
      </c>
      <c r="D20" s="2" t="s">
        <v>764</v>
      </c>
      <c r="G20" s="440" t="s">
        <v>844</v>
      </c>
      <c r="I20" s="6">
        <f>I16*0.8</f>
        <v>670.76800000000003</v>
      </c>
      <c r="J20" s="2" t="s">
        <v>764</v>
      </c>
      <c r="M20" s="690" t="s">
        <v>141</v>
      </c>
      <c r="N20" s="691"/>
      <c r="O20" s="692" t="s">
        <v>639</v>
      </c>
      <c r="P20" s="691"/>
      <c r="Q20" s="691"/>
    </row>
    <row r="21" spans="1:17" x14ac:dyDescent="0.2">
      <c r="M21" s="691" t="s">
        <v>136</v>
      </c>
      <c r="N21" s="691"/>
      <c r="O21" s="693">
        <v>9.34</v>
      </c>
      <c r="P21" s="691"/>
      <c r="Q21" s="691"/>
    </row>
    <row r="22" spans="1:17" ht="15.75" x14ac:dyDescent="0.25">
      <c r="A22" s="1" t="s">
        <v>745</v>
      </c>
      <c r="C22" s="8" t="s">
        <v>744</v>
      </c>
      <c r="G22" s="702" t="s">
        <v>143</v>
      </c>
      <c r="H22" s="700"/>
      <c r="I22" s="703" t="s">
        <v>638</v>
      </c>
      <c r="J22" s="691"/>
      <c r="K22" s="691"/>
      <c r="M22" s="691" t="s">
        <v>104</v>
      </c>
      <c r="N22" s="691"/>
      <c r="O22" s="693">
        <f>O21*0.95</f>
        <v>8.8729999999999993</v>
      </c>
      <c r="P22" s="691" t="s">
        <v>137</v>
      </c>
      <c r="Q22" s="691"/>
    </row>
    <row r="23" spans="1:17" x14ac:dyDescent="0.2">
      <c r="A23" s="2" t="s">
        <v>136</v>
      </c>
      <c r="C23" s="6">
        <v>0</v>
      </c>
      <c r="G23" s="691" t="s">
        <v>136</v>
      </c>
      <c r="H23" s="691"/>
      <c r="I23" s="693">
        <v>691.46</v>
      </c>
      <c r="J23" s="691"/>
      <c r="K23" s="691"/>
      <c r="M23" s="691" t="s">
        <v>125</v>
      </c>
      <c r="N23" s="691"/>
      <c r="O23" s="693">
        <f>O21*0.9</f>
        <v>8.4060000000000006</v>
      </c>
      <c r="P23" s="691" t="s">
        <v>138</v>
      </c>
      <c r="Q23" s="691"/>
    </row>
    <row r="24" spans="1:17" x14ac:dyDescent="0.2">
      <c r="G24" s="691" t="s">
        <v>104</v>
      </c>
      <c r="H24" s="691"/>
      <c r="I24" s="693">
        <f>I23*0.95</f>
        <v>656.88700000000006</v>
      </c>
      <c r="J24" s="691" t="s">
        <v>137</v>
      </c>
      <c r="K24" s="691"/>
      <c r="M24" s="691" t="s">
        <v>742</v>
      </c>
      <c r="N24" s="691"/>
      <c r="O24" s="693">
        <f>O21*0.85</f>
        <v>7.9390000000000001</v>
      </c>
      <c r="P24" s="691" t="s">
        <v>139</v>
      </c>
      <c r="Q24" s="691"/>
    </row>
    <row r="25" spans="1:17" ht="15.75" x14ac:dyDescent="0.25">
      <c r="A25" s="1" t="s">
        <v>142</v>
      </c>
      <c r="C25" s="8" t="s">
        <v>637</v>
      </c>
      <c r="G25" s="691" t="s">
        <v>125</v>
      </c>
      <c r="H25" s="691"/>
      <c r="I25" s="693">
        <f>I23*0.9</f>
        <v>622.31400000000008</v>
      </c>
      <c r="J25" s="691" t="s">
        <v>138</v>
      </c>
      <c r="K25" s="691"/>
      <c r="M25" s="691"/>
      <c r="N25" s="691"/>
      <c r="O25" s="691"/>
      <c r="P25" s="691"/>
      <c r="Q25" s="691"/>
    </row>
    <row r="26" spans="1:17" x14ac:dyDescent="0.2">
      <c r="A26" s="2" t="s">
        <v>136</v>
      </c>
      <c r="C26" s="6">
        <v>682.32</v>
      </c>
      <c r="G26" s="700" t="s">
        <v>934</v>
      </c>
      <c r="H26" s="700"/>
      <c r="I26" s="701">
        <f>I23*0.85</f>
        <v>587.74099999999999</v>
      </c>
      <c r="J26" s="700" t="s">
        <v>139</v>
      </c>
      <c r="K26" s="700"/>
      <c r="M26" s="691" t="s">
        <v>30</v>
      </c>
      <c r="N26" s="691"/>
      <c r="O26" s="691"/>
      <c r="P26" s="691"/>
      <c r="Q26" s="691"/>
    </row>
    <row r="27" spans="1:17" x14ac:dyDescent="0.2">
      <c r="A27" s="2" t="s">
        <v>104</v>
      </c>
      <c r="C27" s="6">
        <f>C26*0.95</f>
        <v>648.20400000000006</v>
      </c>
      <c r="D27" s="2" t="s">
        <v>137</v>
      </c>
      <c r="G27" s="694" t="s">
        <v>844</v>
      </c>
      <c r="H27" s="691"/>
      <c r="I27" s="693">
        <f>I23*0.8</f>
        <v>553.16800000000001</v>
      </c>
      <c r="J27" s="691" t="s">
        <v>764</v>
      </c>
      <c r="K27" s="691"/>
      <c r="M27" s="691" t="s">
        <v>136</v>
      </c>
      <c r="N27" s="691"/>
      <c r="O27" s="693">
        <f>O9+O15+O21</f>
        <v>160.06</v>
      </c>
      <c r="P27" s="691"/>
      <c r="Q27" s="691"/>
    </row>
    <row r="28" spans="1:17" x14ac:dyDescent="0.2">
      <c r="A28" s="2" t="s">
        <v>125</v>
      </c>
      <c r="C28" s="6">
        <f>C26*0.9</f>
        <v>614.08800000000008</v>
      </c>
      <c r="D28" s="2" t="s">
        <v>138</v>
      </c>
      <c r="G28" s="695" t="s">
        <v>768</v>
      </c>
      <c r="H28" s="691"/>
      <c r="I28" s="693"/>
      <c r="J28" s="691"/>
      <c r="K28" s="691"/>
      <c r="M28" s="691" t="s">
        <v>104</v>
      </c>
      <c r="N28" s="691"/>
      <c r="O28" s="693">
        <f>O10+O16+O22</f>
        <v>152.05699999999999</v>
      </c>
      <c r="P28" s="691"/>
      <c r="Q28" s="691"/>
    </row>
    <row r="29" spans="1:17" x14ac:dyDescent="0.2">
      <c r="A29" s="2" t="s">
        <v>934</v>
      </c>
      <c r="C29" s="6">
        <f>C26*0.85</f>
        <v>579.97199999999998</v>
      </c>
      <c r="D29" s="2" t="s">
        <v>139</v>
      </c>
      <c r="M29" s="691" t="s">
        <v>125</v>
      </c>
      <c r="N29" s="691"/>
      <c r="O29" s="693">
        <f>O11+O17+O23</f>
        <v>144.054</v>
      </c>
      <c r="P29" s="691"/>
      <c r="Q29" s="691"/>
    </row>
    <row r="30" spans="1:17" x14ac:dyDescent="0.2">
      <c r="A30" s="440" t="s">
        <v>844</v>
      </c>
      <c r="C30" s="6">
        <f>C26*0.8</f>
        <v>545.85600000000011</v>
      </c>
      <c r="D30" s="2" t="s">
        <v>764</v>
      </c>
      <c r="M30" s="691" t="s">
        <v>742</v>
      </c>
      <c r="N30" s="691"/>
      <c r="O30" s="693">
        <f>O12+O18+O24</f>
        <v>136.05099999999999</v>
      </c>
      <c r="P30" s="691"/>
      <c r="Q30" s="691"/>
    </row>
    <row r="31" spans="1:17" x14ac:dyDescent="0.2">
      <c r="M31" s="691"/>
      <c r="N31" s="691"/>
      <c r="O31" s="691"/>
      <c r="P31" s="691"/>
      <c r="Q31" s="691"/>
    </row>
    <row r="32" spans="1:17" ht="15.75" x14ac:dyDescent="0.25">
      <c r="A32" s="1" t="s">
        <v>144</v>
      </c>
      <c r="C32" s="8" t="s">
        <v>640</v>
      </c>
      <c r="Q32" s="396"/>
    </row>
    <row r="33" spans="1:17" x14ac:dyDescent="0.2">
      <c r="A33" s="2" t="s">
        <v>136</v>
      </c>
      <c r="C33" s="6">
        <v>611.04</v>
      </c>
      <c r="I33" s="6"/>
      <c r="Q33" s="396"/>
    </row>
    <row r="34" spans="1:17" x14ac:dyDescent="0.2">
      <c r="A34" s="2" t="s">
        <v>104</v>
      </c>
      <c r="C34" s="6">
        <f>C33*0.95</f>
        <v>580.48799999999994</v>
      </c>
      <c r="D34" s="2" t="s">
        <v>137</v>
      </c>
      <c r="G34" s="6"/>
      <c r="Q34" s="396"/>
    </row>
    <row r="35" spans="1:17" x14ac:dyDescent="0.2">
      <c r="A35" s="2" t="s">
        <v>125</v>
      </c>
      <c r="C35" s="6">
        <f>C33*0.9</f>
        <v>549.93600000000004</v>
      </c>
      <c r="D35" s="2" t="s">
        <v>138</v>
      </c>
      <c r="M35" s="396"/>
      <c r="N35" s="396"/>
      <c r="O35" s="397"/>
      <c r="P35" s="396"/>
      <c r="Q35" s="396"/>
    </row>
    <row r="36" spans="1:17" x14ac:dyDescent="0.2">
      <c r="A36" s="2" t="s">
        <v>934</v>
      </c>
      <c r="C36" s="6">
        <f>C33*0.85</f>
        <v>519.3839999999999</v>
      </c>
      <c r="D36" s="2" t="s">
        <v>139</v>
      </c>
    </row>
    <row r="37" spans="1:17" x14ac:dyDescent="0.2">
      <c r="A37" s="440" t="s">
        <v>844</v>
      </c>
      <c r="C37" s="6">
        <f>C33*0.8</f>
        <v>488.83199999999999</v>
      </c>
      <c r="D37" s="2" t="s">
        <v>764</v>
      </c>
    </row>
    <row r="39" spans="1:17" ht="15.75" x14ac:dyDescent="0.25">
      <c r="A39" s="1" t="s">
        <v>145</v>
      </c>
      <c r="C39" s="8" t="s">
        <v>641</v>
      </c>
    </row>
    <row r="40" spans="1:17" x14ac:dyDescent="0.2">
      <c r="A40" s="2" t="s">
        <v>136</v>
      </c>
      <c r="C40" s="6">
        <v>763.48</v>
      </c>
    </row>
    <row r="41" spans="1:17" x14ac:dyDescent="0.2">
      <c r="A41" s="2" t="s">
        <v>104</v>
      </c>
      <c r="C41" s="6">
        <f>C40*0.95</f>
        <v>725.30600000000004</v>
      </c>
      <c r="D41" s="2" t="s">
        <v>137</v>
      </c>
    </row>
    <row r="42" spans="1:17" x14ac:dyDescent="0.2">
      <c r="A42" s="2" t="s">
        <v>125</v>
      </c>
      <c r="C42" s="6">
        <f>C40*0.9</f>
        <v>687.13200000000006</v>
      </c>
      <c r="D42" s="2" t="s">
        <v>138</v>
      </c>
    </row>
    <row r="43" spans="1:17" x14ac:dyDescent="0.2">
      <c r="A43" s="2" t="s">
        <v>934</v>
      </c>
      <c r="C43" s="6">
        <f>C40*0.85</f>
        <v>648.95799999999997</v>
      </c>
      <c r="D43" s="2" t="s">
        <v>139</v>
      </c>
    </row>
    <row r="44" spans="1:17" x14ac:dyDescent="0.2">
      <c r="A44" s="440" t="s">
        <v>844</v>
      </c>
      <c r="C44" s="6">
        <f>C40*0.8</f>
        <v>610.78399999999999</v>
      </c>
      <c r="D44" s="2" t="s">
        <v>764</v>
      </c>
    </row>
    <row r="46" spans="1:17" ht="15.75" x14ac:dyDescent="0.25">
      <c r="A46" s="1" t="s">
        <v>146</v>
      </c>
      <c r="C46" s="8" t="s">
        <v>642</v>
      </c>
      <c r="G46" s="1" t="s">
        <v>643</v>
      </c>
    </row>
    <row r="47" spans="1:17" x14ac:dyDescent="0.2">
      <c r="A47" s="2" t="s">
        <v>136</v>
      </c>
      <c r="C47" s="6">
        <v>0</v>
      </c>
      <c r="G47" s="26" t="s">
        <v>746</v>
      </c>
      <c r="I47" s="6">
        <v>20</v>
      </c>
      <c r="J47" s="2" t="s">
        <v>765</v>
      </c>
    </row>
    <row r="48" spans="1:17" x14ac:dyDescent="0.2">
      <c r="G48" s="2" t="s">
        <v>934</v>
      </c>
      <c r="I48" s="6">
        <f>20*0.85</f>
        <v>17</v>
      </c>
      <c r="J48" s="2" t="s">
        <v>741</v>
      </c>
    </row>
    <row r="49" spans="1:10" ht="15.75" x14ac:dyDescent="0.25">
      <c r="A49" s="1" t="s">
        <v>644</v>
      </c>
      <c r="B49" s="1"/>
      <c r="C49" s="8" t="s">
        <v>645</v>
      </c>
      <c r="D49" s="1"/>
      <c r="G49" s="440" t="s">
        <v>844</v>
      </c>
      <c r="I49" s="6">
        <f>I47*0.8</f>
        <v>16</v>
      </c>
      <c r="J49" s="2" t="s">
        <v>764</v>
      </c>
    </row>
    <row r="50" spans="1:10" x14ac:dyDescent="0.2">
      <c r="A50" s="26" t="s">
        <v>935</v>
      </c>
      <c r="C50" s="133">
        <v>0</v>
      </c>
      <c r="G50" s="400" t="s">
        <v>766</v>
      </c>
    </row>
  </sheetData>
  <phoneticPr fontId="0" type="noConversion"/>
  <printOptions horizontalCentered="1" verticalCentered="1" gridLines="1" gridLinesSet="0"/>
  <pageMargins left="0.75" right="0.75" top="0.5" bottom="0.5" header="0.5" footer="0.5"/>
  <pageSetup scale="65" orientation="landscape" horizontalDpi="300" verticalDpi="300" r:id="rId1"/>
  <headerFooter alignWithMargins="0">
    <oddHeader>&amp;C&amp;"Arial,Regular"&amp;A</oddHeader>
    <oddFooter>&amp;L&amp;"Arial,Regular"&amp;8MIKE EX MONTHLY PRODUCTION /
Wprodmmyy (GMA well alloc).xls&amp;R&amp;"Arial,Regular"&amp;10&amp;D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0"/>
  <sheetViews>
    <sheetView workbookViewId="0">
      <selection activeCell="A4" sqref="A4"/>
    </sheetView>
  </sheetViews>
  <sheetFormatPr defaultRowHeight="15.75" x14ac:dyDescent="0.25"/>
  <sheetData>
    <row r="1" spans="1:6" x14ac:dyDescent="0.25">
      <c r="B1" s="412"/>
      <c r="C1" t="s">
        <v>965</v>
      </c>
    </row>
    <row r="2" spans="1:6" x14ac:dyDescent="0.25">
      <c r="B2" s="412" t="s">
        <v>968</v>
      </c>
    </row>
    <row r="3" spans="1:6" x14ac:dyDescent="0.25">
      <c r="B3" s="412"/>
    </row>
    <row r="4" spans="1:6" x14ac:dyDescent="0.25">
      <c r="B4" t="s">
        <v>966</v>
      </c>
      <c r="D4" t="s">
        <v>967</v>
      </c>
    </row>
    <row r="5" spans="1:6" x14ac:dyDescent="0.25">
      <c r="B5" t="s">
        <v>40</v>
      </c>
      <c r="D5" t="s">
        <v>40</v>
      </c>
      <c r="E5" t="s">
        <v>53</v>
      </c>
    </row>
    <row r="6" spans="1:6" x14ac:dyDescent="0.25">
      <c r="A6">
        <v>1995</v>
      </c>
      <c r="B6" s="787">
        <v>276</v>
      </c>
      <c r="C6" s="787"/>
      <c r="D6" s="787">
        <v>362.1</v>
      </c>
      <c r="E6" s="787"/>
      <c r="F6" s="787"/>
    </row>
    <row r="7" spans="1:6" x14ac:dyDescent="0.25">
      <c r="A7">
        <v>1996</v>
      </c>
      <c r="B7" s="787">
        <v>2395.3000000000002</v>
      </c>
      <c r="C7" s="787"/>
      <c r="D7" s="787">
        <v>2087.5</v>
      </c>
      <c r="E7" s="787"/>
      <c r="F7" s="787"/>
    </row>
    <row r="8" spans="1:6" x14ac:dyDescent="0.25">
      <c r="A8">
        <v>1997</v>
      </c>
      <c r="B8" s="787">
        <v>1727.5</v>
      </c>
      <c r="C8" s="787"/>
      <c r="D8" s="787">
        <v>1933.4</v>
      </c>
      <c r="E8" s="787"/>
      <c r="F8" s="787"/>
    </row>
    <row r="9" spans="1:6" x14ac:dyDescent="0.25">
      <c r="A9">
        <v>1998</v>
      </c>
      <c r="B9" s="787">
        <v>628.29999999999995</v>
      </c>
      <c r="C9" s="787"/>
      <c r="D9" s="787">
        <v>543.9</v>
      </c>
      <c r="E9" s="787">
        <v>370</v>
      </c>
      <c r="F9" s="787"/>
    </row>
    <row r="10" spans="1:6" x14ac:dyDescent="0.25">
      <c r="A10">
        <v>1999</v>
      </c>
      <c r="B10" s="787">
        <v>0</v>
      </c>
      <c r="C10" s="787"/>
      <c r="D10" s="787"/>
      <c r="E10" s="787">
        <v>2000</v>
      </c>
      <c r="F10" s="787"/>
    </row>
    <row r="11" spans="1:6" x14ac:dyDescent="0.25">
      <c r="A11">
        <v>2000</v>
      </c>
      <c r="B11" s="787">
        <v>1870.9</v>
      </c>
      <c r="C11" s="787"/>
      <c r="D11" s="787">
        <v>1998.8</v>
      </c>
      <c r="E11" s="787">
        <v>280.5</v>
      </c>
      <c r="F11" s="787"/>
    </row>
    <row r="12" spans="1:6" x14ac:dyDescent="0.25">
      <c r="A12">
        <v>2001</v>
      </c>
      <c r="B12" s="787">
        <v>140.19999999999999</v>
      </c>
      <c r="C12" s="787"/>
      <c r="D12" s="787">
        <v>125</v>
      </c>
      <c r="E12" s="787">
        <v>2000</v>
      </c>
      <c r="F12" s="787"/>
    </row>
    <row r="13" spans="1:6" x14ac:dyDescent="0.25">
      <c r="A13">
        <v>2002</v>
      </c>
      <c r="B13" s="787">
        <v>0</v>
      </c>
      <c r="C13" s="787"/>
      <c r="D13" s="787">
        <v>0</v>
      </c>
      <c r="E13" s="787">
        <v>2000</v>
      </c>
      <c r="F13" s="787"/>
    </row>
    <row r="14" spans="1:6" x14ac:dyDescent="0.25">
      <c r="A14">
        <v>2003</v>
      </c>
      <c r="B14" s="787">
        <v>1373.9</v>
      </c>
      <c r="C14" s="787"/>
      <c r="D14" s="787">
        <v>1487.6</v>
      </c>
      <c r="E14" s="787">
        <v>1010.6</v>
      </c>
      <c r="F14" s="787"/>
    </row>
    <row r="15" spans="1:6" x14ac:dyDescent="0.25">
      <c r="A15">
        <v>2004</v>
      </c>
      <c r="B15" s="787">
        <v>2301.6</v>
      </c>
      <c r="C15" s="787"/>
      <c r="D15" s="787">
        <v>2171.1</v>
      </c>
      <c r="E15" s="787"/>
      <c r="F15" s="787"/>
    </row>
    <row r="16" spans="1:6" x14ac:dyDescent="0.25">
      <c r="A16">
        <v>2005</v>
      </c>
      <c r="B16" s="787">
        <v>2117.8000000000002</v>
      </c>
      <c r="C16" s="787"/>
      <c r="D16" s="787">
        <v>1956.1</v>
      </c>
      <c r="E16" s="787"/>
      <c r="F16" s="787"/>
    </row>
    <row r="17" spans="1:6" x14ac:dyDescent="0.25">
      <c r="A17">
        <v>2006</v>
      </c>
      <c r="B17" s="787">
        <v>1966</v>
      </c>
      <c r="C17" s="787"/>
      <c r="D17" s="787">
        <v>1787</v>
      </c>
      <c r="E17" s="787"/>
      <c r="F17" s="787"/>
    </row>
    <row r="18" spans="1:6" x14ac:dyDescent="0.25">
      <c r="A18">
        <v>2007</v>
      </c>
      <c r="B18" s="787">
        <v>551.20000000000005</v>
      </c>
      <c r="C18" s="787"/>
      <c r="D18" s="787">
        <v>2000</v>
      </c>
      <c r="E18" s="787">
        <v>442.9</v>
      </c>
      <c r="F18" s="787"/>
    </row>
    <row r="19" spans="1:6" x14ac:dyDescent="0.25">
      <c r="A19">
        <v>2008</v>
      </c>
      <c r="B19" s="787" t="s">
        <v>4</v>
      </c>
      <c r="C19" s="787"/>
      <c r="D19" s="787"/>
      <c r="E19" s="787">
        <v>415.8</v>
      </c>
      <c r="F19" s="787"/>
    </row>
    <row r="20" spans="1:6" x14ac:dyDescent="0.25">
      <c r="A20" t="s">
        <v>12</v>
      </c>
      <c r="B20" s="787">
        <f>SUM(B6:B19)</f>
        <v>15348.7</v>
      </c>
      <c r="C20" s="787"/>
      <c r="D20" s="787">
        <f>SUM(D6:D19)</f>
        <v>16452.5</v>
      </c>
      <c r="E20" s="787">
        <f>SUM(E6:E19)</f>
        <v>8519.7999999999993</v>
      </c>
      <c r="F20" s="787">
        <f>SUM(B20:E20)</f>
        <v>40321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116"/>
  <sheetViews>
    <sheetView topLeftCell="A19" zoomScale="70" zoomScaleNormal="70" workbookViewId="0">
      <selection activeCell="H69" sqref="H69"/>
    </sheetView>
  </sheetViews>
  <sheetFormatPr defaultColWidth="11.625" defaultRowHeight="20.100000000000001" customHeight="1" x14ac:dyDescent="0.2"/>
  <cols>
    <col min="1" max="1" width="8.375" style="200" customWidth="1"/>
    <col min="2" max="2" width="6.75" style="11" customWidth="1"/>
    <col min="3" max="3" width="10.75" style="11" customWidth="1"/>
    <col min="4" max="4" width="10.75" style="79" customWidth="1"/>
    <col min="5" max="11" width="10.75" style="11" customWidth="1"/>
    <col min="12" max="12" width="11.625" style="11" customWidth="1"/>
    <col min="13" max="13" width="12.5" style="11" customWidth="1"/>
    <col min="14" max="14" width="12.25" style="11" customWidth="1"/>
    <col min="15" max="15" width="6.375" style="11" customWidth="1"/>
    <col min="16" max="16" width="9.25" style="11" customWidth="1"/>
    <col min="17" max="17" width="9.125" style="11" customWidth="1"/>
    <col min="18" max="18" width="10.25" style="11" customWidth="1"/>
    <col min="19" max="19" width="4.875" style="11" customWidth="1"/>
    <col min="20" max="16384" width="11.625" style="11"/>
  </cols>
  <sheetData>
    <row r="1" spans="1:14" ht="21" customHeight="1" thickBot="1" x14ac:dyDescent="0.35">
      <c r="A1" s="1711" t="s">
        <v>605</v>
      </c>
      <c r="B1" s="1712"/>
      <c r="C1" s="1712"/>
      <c r="D1" s="1712"/>
      <c r="E1" s="1712"/>
      <c r="F1" s="1712"/>
      <c r="G1" s="1712"/>
      <c r="H1" s="1712"/>
      <c r="I1" s="1712"/>
      <c r="J1" s="1712"/>
      <c r="K1" s="1713"/>
    </row>
    <row r="2" spans="1:14" ht="8.1" customHeight="1" x14ac:dyDescent="0.25">
      <c r="A2" s="205"/>
      <c r="B2" s="206"/>
      <c r="C2" s="213"/>
      <c r="D2" s="213"/>
      <c r="E2" s="213"/>
      <c r="F2" s="213"/>
      <c r="G2" s="213"/>
      <c r="H2" s="213"/>
      <c r="I2" s="213"/>
      <c r="J2" s="213"/>
      <c r="K2" s="213"/>
    </row>
    <row r="3" spans="1:14" ht="20.100000000000001" customHeight="1" x14ac:dyDescent="0.25">
      <c r="B3" s="272"/>
      <c r="C3" s="279" t="s">
        <v>311</v>
      </c>
      <c r="D3" s="280"/>
      <c r="E3" s="272"/>
      <c r="F3" s="272"/>
      <c r="G3" s="253">
        <f>H3-1</f>
        <v>43708</v>
      </c>
      <c r="H3" s="253">
        <f>'Prod Data'!C1</f>
        <v>43709</v>
      </c>
    </row>
    <row r="4" spans="1:14" ht="13.35" customHeight="1" x14ac:dyDescent="0.25">
      <c r="B4" s="272"/>
      <c r="C4" s="268"/>
      <c r="D4" s="281"/>
      <c r="E4" s="269"/>
      <c r="F4" s="272"/>
      <c r="G4" s="204"/>
      <c r="H4" s="204"/>
      <c r="I4" s="290" t="s">
        <v>305</v>
      </c>
      <c r="K4" s="55"/>
    </row>
    <row r="5" spans="1:14" ht="20.100000000000001" customHeight="1" x14ac:dyDescent="0.25">
      <c r="B5" s="272"/>
      <c r="C5" s="282" t="s">
        <v>508</v>
      </c>
      <c r="D5" s="283"/>
      <c r="E5" s="284"/>
      <c r="F5" s="272"/>
      <c r="G5" s="317">
        <f>ROUND('Prod Data'!C5,3)</f>
        <v>816.03800000000001</v>
      </c>
      <c r="H5" s="317">
        <f>ROUND('Prod Data'!B5,3)</f>
        <v>759.60199999999998</v>
      </c>
      <c r="I5" s="288">
        <f>G5+H5</f>
        <v>1575.6399999999999</v>
      </c>
      <c r="K5" s="55"/>
    </row>
    <row r="6" spans="1:14" ht="20.100000000000001" customHeight="1" x14ac:dyDescent="0.25">
      <c r="B6" s="272"/>
      <c r="C6" s="282" t="s">
        <v>509</v>
      </c>
      <c r="D6" s="283"/>
      <c r="E6" s="284"/>
      <c r="F6" s="272"/>
      <c r="G6" s="317">
        <f>-ROUND('Prod Data'!C8,3)-ROUND('Prod Data'!C6,3)</f>
        <v>0</v>
      </c>
      <c r="H6" s="317">
        <f>-ROUND('Prod Data'!B8,3)-ROUND('Prod Data'!C6,3)</f>
        <v>0</v>
      </c>
      <c r="I6" s="288">
        <f>G6+H6</f>
        <v>0</v>
      </c>
      <c r="K6" s="55"/>
    </row>
    <row r="7" spans="1:14" ht="20.100000000000001" customHeight="1" x14ac:dyDescent="0.25">
      <c r="B7" s="272"/>
      <c r="C7" s="282" t="s">
        <v>510</v>
      </c>
      <c r="D7" s="280"/>
      <c r="E7" s="272"/>
      <c r="F7" s="272"/>
      <c r="G7" s="317">
        <f>ROUND('Prod Data'!C7,3)</f>
        <v>245.7</v>
      </c>
      <c r="H7" s="317">
        <f>ROUND('Prod Data'!B7,3)</f>
        <v>231.7</v>
      </c>
      <c r="I7" s="288">
        <f>G7+H7</f>
        <v>477.4</v>
      </c>
      <c r="K7" s="55"/>
    </row>
    <row r="8" spans="1:14" ht="20.100000000000001" customHeight="1" x14ac:dyDescent="0.25">
      <c r="B8" s="272"/>
      <c r="C8" s="282" t="s">
        <v>511</v>
      </c>
      <c r="D8" s="272"/>
      <c r="E8" s="272"/>
      <c r="F8" s="272"/>
      <c r="G8" s="437">
        <f>(G5+G7)/($I$5+$I$7)</f>
        <v>0.51715407395861746</v>
      </c>
      <c r="H8" s="437">
        <f>(H5+H7)/($I$5+$I$7)</f>
        <v>0.48284592604138249</v>
      </c>
      <c r="I8" s="289">
        <f>(G8+H8)</f>
        <v>1</v>
      </c>
      <c r="K8" s="55"/>
    </row>
    <row r="9" spans="1:14" ht="20.100000000000001" customHeight="1" x14ac:dyDescent="0.25">
      <c r="C9" s="1"/>
      <c r="D9" s="22"/>
      <c r="E9" s="2"/>
      <c r="F9" s="27"/>
      <c r="G9" s="27"/>
      <c r="H9" s="2"/>
      <c r="I9" s="2"/>
      <c r="J9" s="2"/>
      <c r="K9" s="55"/>
    </row>
    <row r="10" spans="1:14" ht="20.100000000000001" customHeight="1" x14ac:dyDescent="0.25">
      <c r="A10" s="271"/>
      <c r="B10" s="272"/>
      <c r="C10" s="1721" t="s">
        <v>310</v>
      </c>
      <c r="D10" s="1721"/>
      <c r="E10" s="1721" t="s">
        <v>316</v>
      </c>
      <c r="F10" s="1721"/>
      <c r="G10" s="1721"/>
      <c r="H10" s="1721" t="s">
        <v>507</v>
      </c>
      <c r="I10" s="1721"/>
      <c r="J10" s="273"/>
      <c r="K10" s="14"/>
      <c r="L10" s="201"/>
    </row>
    <row r="11" spans="1:14" ht="55.35" customHeight="1" x14ac:dyDescent="0.25">
      <c r="A11" s="274" t="s">
        <v>291</v>
      </c>
      <c r="B11" s="274" t="s">
        <v>292</v>
      </c>
      <c r="C11" s="275" t="s">
        <v>506</v>
      </c>
      <c r="D11" s="274" t="s">
        <v>11</v>
      </c>
      <c r="E11" s="275" t="s">
        <v>512</v>
      </c>
      <c r="F11" s="274" t="s">
        <v>523</v>
      </c>
      <c r="G11" s="274" t="s">
        <v>524</v>
      </c>
      <c r="H11" s="276" t="s">
        <v>565</v>
      </c>
      <c r="I11" s="277" t="s">
        <v>525</v>
      </c>
      <c r="J11" s="278" t="s">
        <v>526</v>
      </c>
      <c r="M11" s="374"/>
      <c r="N11" s="436" t="s">
        <v>812</v>
      </c>
    </row>
    <row r="12" spans="1:14" ht="20.100000000000001" customHeight="1" x14ac:dyDescent="0.25">
      <c r="A12" s="287" t="s">
        <v>293</v>
      </c>
      <c r="B12" s="370">
        <v>3</v>
      </c>
      <c r="C12" s="371">
        <v>40269</v>
      </c>
      <c r="D12" s="371">
        <v>40330</v>
      </c>
      <c r="E12" s="211">
        <v>117407</v>
      </c>
      <c r="F12" s="211">
        <v>0</v>
      </c>
      <c r="G12" s="211">
        <v>3541</v>
      </c>
      <c r="H12" s="378"/>
      <c r="I12" s="378"/>
      <c r="J12" s="291">
        <f t="shared" ref="J12:J19" si="0">E12+F12+G12</f>
        <v>120948</v>
      </c>
      <c r="N12" s="434">
        <v>155152</v>
      </c>
    </row>
    <row r="13" spans="1:14" ht="20.100000000000001" customHeight="1" x14ac:dyDescent="0.25">
      <c r="A13" s="287" t="s">
        <v>806</v>
      </c>
      <c r="B13" s="370">
        <v>3</v>
      </c>
      <c r="C13" s="371">
        <v>40239</v>
      </c>
      <c r="D13" s="371">
        <v>40302</v>
      </c>
      <c r="E13" s="211">
        <v>143472</v>
      </c>
      <c r="F13" s="211">
        <v>1485</v>
      </c>
      <c r="G13" s="211">
        <v>7033</v>
      </c>
      <c r="H13" s="392">
        <v>8</v>
      </c>
      <c r="I13" s="392">
        <v>0</v>
      </c>
      <c r="J13" s="291">
        <f t="shared" si="0"/>
        <v>151990</v>
      </c>
      <c r="K13" s="384"/>
      <c r="N13" s="434">
        <v>197018</v>
      </c>
    </row>
    <row r="14" spans="1:14" ht="20.100000000000001" customHeight="1" x14ac:dyDescent="0.25">
      <c r="A14" s="287" t="s">
        <v>294</v>
      </c>
      <c r="B14" s="370">
        <v>3</v>
      </c>
      <c r="C14" s="371">
        <v>40247</v>
      </c>
      <c r="D14" s="371">
        <v>40310</v>
      </c>
      <c r="E14" s="211">
        <v>92953</v>
      </c>
      <c r="F14" s="211">
        <v>0</v>
      </c>
      <c r="G14" s="211">
        <v>3708</v>
      </c>
      <c r="H14" s="378"/>
      <c r="I14" s="378"/>
      <c r="J14" s="291">
        <f t="shared" si="0"/>
        <v>96661</v>
      </c>
      <c r="N14" s="434">
        <v>130825</v>
      </c>
    </row>
    <row r="15" spans="1:14" ht="20.100000000000001" customHeight="1" x14ac:dyDescent="0.25">
      <c r="A15" s="287" t="s">
        <v>715</v>
      </c>
      <c r="B15" s="390">
        <v>5</v>
      </c>
      <c r="C15" s="371">
        <v>40289</v>
      </c>
      <c r="D15" s="371">
        <v>40318</v>
      </c>
      <c r="E15" s="211">
        <v>46626</v>
      </c>
      <c r="F15" s="211">
        <v>18425</v>
      </c>
      <c r="G15" s="211">
        <v>44503</v>
      </c>
      <c r="H15" s="392">
        <v>96</v>
      </c>
      <c r="I15" s="392">
        <v>11</v>
      </c>
      <c r="J15" s="291">
        <f t="shared" si="0"/>
        <v>109554</v>
      </c>
      <c r="N15" s="434">
        <v>168936</v>
      </c>
    </row>
    <row r="16" spans="1:14" ht="20.100000000000001" customHeight="1" x14ac:dyDescent="0.25">
      <c r="A16" s="287" t="s">
        <v>715</v>
      </c>
      <c r="B16" s="370">
        <v>6</v>
      </c>
      <c r="C16" s="371">
        <v>40318</v>
      </c>
      <c r="D16" s="371">
        <v>40351</v>
      </c>
      <c r="E16" s="211">
        <v>67683</v>
      </c>
      <c r="F16" s="211">
        <v>28733</v>
      </c>
      <c r="G16" s="211">
        <v>74103</v>
      </c>
      <c r="H16" s="392">
        <v>96</v>
      </c>
      <c r="I16" s="392">
        <v>10</v>
      </c>
      <c r="J16" s="291">
        <f t="shared" si="0"/>
        <v>170519</v>
      </c>
      <c r="N16" s="434">
        <v>140818</v>
      </c>
    </row>
    <row r="17" spans="1:14" ht="20.100000000000001" customHeight="1" x14ac:dyDescent="0.25">
      <c r="A17" s="287" t="s">
        <v>295</v>
      </c>
      <c r="B17" s="370">
        <v>3</v>
      </c>
      <c r="C17" s="371">
        <v>40260</v>
      </c>
      <c r="D17" s="371">
        <v>40323</v>
      </c>
      <c r="E17" s="211">
        <v>91528</v>
      </c>
      <c r="F17" s="211">
        <v>0</v>
      </c>
      <c r="G17" s="211">
        <v>2</v>
      </c>
      <c r="H17" s="378"/>
      <c r="I17" s="378"/>
      <c r="J17" s="291">
        <f t="shared" si="0"/>
        <v>91530</v>
      </c>
      <c r="N17" s="434">
        <v>120172</v>
      </c>
    </row>
    <row r="18" spans="1:14" ht="20.100000000000001" customHeight="1" x14ac:dyDescent="0.25">
      <c r="A18" s="287" t="s">
        <v>296</v>
      </c>
      <c r="B18" s="370">
        <v>3</v>
      </c>
      <c r="C18" s="371">
        <v>40260</v>
      </c>
      <c r="D18" s="371">
        <v>40323</v>
      </c>
      <c r="E18" s="211">
        <v>8725</v>
      </c>
      <c r="F18" s="211">
        <v>0</v>
      </c>
      <c r="G18" s="211">
        <v>18282</v>
      </c>
      <c r="H18" s="378"/>
      <c r="I18" s="378"/>
      <c r="J18" s="291">
        <f t="shared" si="0"/>
        <v>27007</v>
      </c>
      <c r="N18" s="434">
        <v>41178</v>
      </c>
    </row>
    <row r="19" spans="1:14" ht="20.100000000000001" customHeight="1" x14ac:dyDescent="0.25">
      <c r="A19" s="287" t="s">
        <v>297</v>
      </c>
      <c r="B19" s="370">
        <v>3</v>
      </c>
      <c r="C19" s="371">
        <v>40260</v>
      </c>
      <c r="D19" s="371">
        <v>40323</v>
      </c>
      <c r="E19" s="211">
        <v>2230</v>
      </c>
      <c r="F19" s="393"/>
      <c r="G19" s="393"/>
      <c r="H19" s="378"/>
      <c r="I19" s="378"/>
      <c r="J19" s="291">
        <f t="shared" si="0"/>
        <v>2230</v>
      </c>
      <c r="N19" s="435">
        <v>1340</v>
      </c>
    </row>
    <row r="20" spans="1:14" ht="20.100000000000001" customHeight="1" x14ac:dyDescent="0.25">
      <c r="D20" s="285"/>
      <c r="E20" s="292">
        <f>SUM(E12:E19)</f>
        <v>570624</v>
      </c>
      <c r="F20" s="292">
        <f>SUM(F12:F19)</f>
        <v>48643</v>
      </c>
      <c r="G20" s="292">
        <f>SUM(G12:G19)</f>
        <v>151172</v>
      </c>
      <c r="H20" s="202"/>
      <c r="I20" s="202"/>
      <c r="J20" s="292">
        <f>IF(SUM(J12:J19)=(E20+F20+G20), SUM(J12:J19),"error!!!")</f>
        <v>770439</v>
      </c>
    </row>
    <row r="21" spans="1:14" ht="20.100000000000001" customHeight="1" x14ac:dyDescent="0.25">
      <c r="D21" s="286" t="s">
        <v>315</v>
      </c>
      <c r="E21" s="293">
        <f>ROUND(E20/435.6,3)</f>
        <v>1309.972</v>
      </c>
      <c r="F21" s="293">
        <f>ROUND(F20/435.6,3)</f>
        <v>111.669</v>
      </c>
      <c r="G21" s="293">
        <f>ROUND(G20/435.6,3)</f>
        <v>347.04300000000001</v>
      </c>
      <c r="H21" s="184"/>
      <c r="I21" s="203"/>
      <c r="J21" s="293">
        <f>J20/435.6</f>
        <v>1768.6845730027546</v>
      </c>
    </row>
    <row r="22" spans="1:14" ht="20.100000000000001" customHeight="1" x14ac:dyDescent="0.25">
      <c r="A22" s="271" t="s">
        <v>536</v>
      </c>
      <c r="C22" s="55"/>
      <c r="D22" s="11"/>
      <c r="E22" s="138"/>
      <c r="F22" s="138"/>
      <c r="G22" s="138"/>
      <c r="H22" s="137"/>
      <c r="I22" s="137"/>
      <c r="J22" s="137"/>
      <c r="K22" s="139"/>
    </row>
    <row r="23" spans="1:14" ht="6" customHeight="1" thickBot="1" x14ac:dyDescent="0.3">
      <c r="A23" s="205"/>
      <c r="B23" s="206"/>
      <c r="C23" s="207"/>
      <c r="D23" s="206"/>
      <c r="E23" s="208"/>
      <c r="F23" s="208"/>
      <c r="G23" s="208"/>
      <c r="H23" s="209"/>
      <c r="I23" s="209"/>
      <c r="J23" s="209"/>
      <c r="K23" s="210"/>
    </row>
    <row r="24" spans="1:14" ht="20.45" customHeight="1" thickBot="1" x14ac:dyDescent="0.35">
      <c r="A24" s="1711" t="s">
        <v>605</v>
      </c>
      <c r="B24" s="1712"/>
      <c r="C24" s="1712"/>
      <c r="D24" s="1712"/>
      <c r="E24" s="1712"/>
      <c r="F24" s="1712"/>
      <c r="G24" s="1712"/>
      <c r="H24" s="1712"/>
      <c r="I24" s="1712"/>
      <c r="J24" s="1712"/>
      <c r="K24" s="1713"/>
    </row>
    <row r="25" spans="1:14" ht="19.5" customHeight="1" x14ac:dyDescent="0.25">
      <c r="C25" s="279" t="s">
        <v>314</v>
      </c>
      <c r="D25" s="272"/>
      <c r="E25" s="294"/>
      <c r="F25" s="294"/>
      <c r="G25" s="253">
        <f>H25-1</f>
        <v>43708</v>
      </c>
      <c r="H25" s="253">
        <f>'Prod Data'!C1</f>
        <v>43709</v>
      </c>
      <c r="I25" s="137"/>
      <c r="J25" s="137"/>
      <c r="K25" s="139"/>
    </row>
    <row r="26" spans="1:14" ht="15" customHeight="1" x14ac:dyDescent="0.25">
      <c r="C26" s="268"/>
      <c r="D26" s="281"/>
      <c r="E26" s="269"/>
      <c r="F26" s="295"/>
      <c r="G26" s="27"/>
      <c r="H26" s="2"/>
      <c r="I26" s="296" t="s">
        <v>305</v>
      </c>
      <c r="J26" s="2"/>
      <c r="K26" s="55"/>
    </row>
    <row r="27" spans="1:14" ht="20.100000000000001" customHeight="1" x14ac:dyDescent="0.25">
      <c r="C27" s="282" t="s">
        <v>508</v>
      </c>
      <c r="D27" s="283"/>
      <c r="E27" s="284"/>
      <c r="F27" s="272"/>
      <c r="G27" s="317">
        <f>ROUND('Prod Data'!E5,3)</f>
        <v>34.909999999999997</v>
      </c>
      <c r="H27" s="317">
        <f>ROUND('Prod Data'!D5,3)</f>
        <v>5.6239999999999997</v>
      </c>
      <c r="I27" s="297">
        <f>G27+H27</f>
        <v>40.533999999999999</v>
      </c>
      <c r="J27" s="2"/>
      <c r="K27" s="55"/>
    </row>
    <row r="28" spans="1:14" ht="20.100000000000001" customHeight="1" x14ac:dyDescent="0.25">
      <c r="C28" s="282" t="s">
        <v>509</v>
      </c>
      <c r="D28" s="283"/>
      <c r="E28" s="284"/>
      <c r="F28" s="272"/>
      <c r="G28" s="317">
        <f>-ROUND('Prod Data'!E8,3)-ROUND('Prod Data'!E6,3)</f>
        <v>0</v>
      </c>
      <c r="H28" s="317">
        <f>-ROUND('Prod Data'!D8,3)-ROUND('Prod Data'!D6,3)</f>
        <v>0</v>
      </c>
      <c r="I28" s="297">
        <f>G28+H28</f>
        <v>0</v>
      </c>
      <c r="J28" s="2"/>
      <c r="K28" s="55"/>
    </row>
    <row r="29" spans="1:14" ht="20.100000000000001" customHeight="1" x14ac:dyDescent="0.25">
      <c r="C29" s="282" t="s">
        <v>510</v>
      </c>
      <c r="D29" s="272"/>
      <c r="E29" s="272"/>
      <c r="F29" s="272"/>
      <c r="G29" s="317">
        <f>ROUND('Prod Data'!E7,3)</f>
        <v>232.49700000000001</v>
      </c>
      <c r="H29" s="317">
        <f>ROUND('Prod Data'!D7,3)</f>
        <v>234.82900000000001</v>
      </c>
      <c r="I29" s="297">
        <f>G29+H29</f>
        <v>467.32600000000002</v>
      </c>
      <c r="J29" s="2"/>
      <c r="K29" s="55"/>
    </row>
    <row r="30" spans="1:14" ht="20.100000000000001" customHeight="1" x14ac:dyDescent="0.25">
      <c r="C30" s="282" t="s">
        <v>511</v>
      </c>
      <c r="D30" s="281"/>
      <c r="E30" s="269"/>
      <c r="F30" s="295"/>
      <c r="G30" s="318">
        <f>(G27+G29)/($I$27+$I$29)</f>
        <v>0.52653684086165486</v>
      </c>
      <c r="H30" s="318">
        <f>(H27+H29)/($I$27+$I$29)</f>
        <v>0.47346315913834519</v>
      </c>
      <c r="I30" s="298">
        <f>(G30+H30)</f>
        <v>1</v>
      </c>
      <c r="J30" s="2"/>
      <c r="K30" s="55"/>
    </row>
    <row r="31" spans="1:14" ht="20.100000000000001" customHeight="1" x14ac:dyDescent="0.25">
      <c r="C31" s="1"/>
      <c r="D31" s="22"/>
      <c r="E31" s="2"/>
      <c r="F31" s="27"/>
      <c r="G31" s="27"/>
      <c r="H31" s="2"/>
      <c r="I31" s="2"/>
      <c r="J31" s="2"/>
      <c r="K31" s="55"/>
    </row>
    <row r="32" spans="1:14" ht="20.100000000000001" customHeight="1" x14ac:dyDescent="0.25">
      <c r="B32" s="270"/>
      <c r="C32" s="1708" t="s">
        <v>310</v>
      </c>
      <c r="D32" s="1710"/>
      <c r="E32" s="1708" t="s">
        <v>316</v>
      </c>
      <c r="F32" s="1709"/>
      <c r="G32" s="1710"/>
      <c r="H32" s="1721" t="s">
        <v>507</v>
      </c>
      <c r="I32" s="1721"/>
      <c r="J32" s="258"/>
    </row>
    <row r="33" spans="1:19" ht="58.35" customHeight="1" x14ac:dyDescent="0.25">
      <c r="B33" s="274" t="s">
        <v>292</v>
      </c>
      <c r="C33" s="275" t="s">
        <v>506</v>
      </c>
      <c r="D33" s="274" t="s">
        <v>11</v>
      </c>
      <c r="E33" s="275" t="s">
        <v>512</v>
      </c>
      <c r="F33" s="274" t="s">
        <v>523</v>
      </c>
      <c r="G33" s="274" t="s">
        <v>524</v>
      </c>
      <c r="H33" s="276" t="s">
        <v>565</v>
      </c>
      <c r="I33" s="277" t="s">
        <v>525</v>
      </c>
      <c r="J33" s="278" t="s">
        <v>526</v>
      </c>
      <c r="N33" s="436" t="s">
        <v>812</v>
      </c>
    </row>
    <row r="34" spans="1:19" ht="20.100000000000001" customHeight="1" x14ac:dyDescent="0.25">
      <c r="A34" s="212"/>
      <c r="B34" s="370">
        <v>4</v>
      </c>
      <c r="C34" s="371">
        <v>40274</v>
      </c>
      <c r="D34" s="371">
        <v>40304</v>
      </c>
      <c r="E34" s="211">
        <v>23511</v>
      </c>
      <c r="F34" s="211">
        <v>351</v>
      </c>
      <c r="G34" s="211">
        <v>32467</v>
      </c>
      <c r="H34" s="391">
        <v>1</v>
      </c>
      <c r="I34" s="391">
        <v>0</v>
      </c>
      <c r="J34" s="291">
        <f>E34+F34+G34</f>
        <v>56329</v>
      </c>
      <c r="N34" s="435">
        <v>136902</v>
      </c>
    </row>
    <row r="35" spans="1:19" ht="20.100000000000001" customHeight="1" x14ac:dyDescent="0.25">
      <c r="A35" s="212"/>
      <c r="B35" s="370">
        <v>5</v>
      </c>
      <c r="C35" s="371">
        <v>40304</v>
      </c>
      <c r="D35" s="371">
        <v>40337</v>
      </c>
      <c r="E35" s="211">
        <v>53228</v>
      </c>
      <c r="F35" s="211">
        <v>739</v>
      </c>
      <c r="G35" s="211">
        <v>90180</v>
      </c>
      <c r="H35" s="391">
        <v>1</v>
      </c>
      <c r="I35" s="391">
        <v>0</v>
      </c>
      <c r="J35" s="291">
        <f>E35+F35+G35</f>
        <v>144147</v>
      </c>
      <c r="N35" s="435">
        <v>136360</v>
      </c>
    </row>
    <row r="36" spans="1:19" ht="20.100000000000001" customHeight="1" x14ac:dyDescent="0.25">
      <c r="D36" s="309" t="s">
        <v>315</v>
      </c>
      <c r="E36" s="293">
        <f>ROUND(SUM(E34+E35)/435.6,3)</f>
        <v>176.16900000000001</v>
      </c>
      <c r="F36" s="293">
        <f>ROUND(SUM(F34+F35)/435.6,3)</f>
        <v>2.5019999999999998</v>
      </c>
      <c r="G36" s="293">
        <f>ROUND(SUM(G34+G35)/435.6,3)</f>
        <v>281.55900000000003</v>
      </c>
      <c r="H36" s="54"/>
      <c r="I36" s="54"/>
      <c r="J36" s="293">
        <f>ROUND(SUM(J34+J35)/435.6,1)</f>
        <v>460.2</v>
      </c>
    </row>
    <row r="37" spans="1:19" ht="20.100000000000001" customHeight="1" x14ac:dyDescent="0.3">
      <c r="A37" s="200" t="s">
        <v>537</v>
      </c>
      <c r="D37" s="198"/>
      <c r="E37" s="197"/>
      <c r="F37" s="136"/>
      <c r="G37" s="136"/>
      <c r="H37" s="139"/>
      <c r="I37" s="139"/>
    </row>
    <row r="38" spans="1:19" ht="10.35" customHeight="1" x14ac:dyDescent="0.25">
      <c r="A38" s="205"/>
      <c r="B38" s="206"/>
      <c r="C38" s="206"/>
      <c r="D38" s="208"/>
      <c r="E38" s="208"/>
      <c r="F38" s="209"/>
      <c r="G38" s="209"/>
      <c r="H38" s="209"/>
      <c r="I38" s="210"/>
      <c r="J38" s="206"/>
      <c r="K38" s="206"/>
    </row>
    <row r="39" spans="1:19" ht="20.100000000000001" customHeight="1" x14ac:dyDescent="0.25">
      <c r="A39" s="1717" t="s">
        <v>304</v>
      </c>
      <c r="B39" s="1717"/>
      <c r="C39" s="1717"/>
      <c r="D39" s="1717"/>
      <c r="E39" s="1717"/>
      <c r="F39" s="1717"/>
      <c r="G39" s="1717"/>
      <c r="H39" s="1717"/>
      <c r="I39" s="1717"/>
      <c r="J39" s="1717"/>
      <c r="K39" s="1717"/>
    </row>
    <row r="40" spans="1:19" ht="5.0999999999999996" customHeight="1" x14ac:dyDescent="0.25">
      <c r="C40" s="55"/>
      <c r="D40" s="110"/>
      <c r="F40" s="138"/>
      <c r="G40" s="136"/>
      <c r="H40" s="136"/>
      <c r="I40" s="136"/>
      <c r="J40" s="136"/>
      <c r="K40" s="139"/>
      <c r="M40" s="54"/>
      <c r="N40" s="54"/>
      <c r="O40" s="54"/>
      <c r="P40" s="54"/>
      <c r="Q40" s="54"/>
      <c r="R40" s="54"/>
    </row>
    <row r="41" spans="1:19" ht="31.35" customHeight="1" x14ac:dyDescent="0.25">
      <c r="C41" s="1720"/>
      <c r="D41" s="1720"/>
      <c r="E41" s="1720"/>
      <c r="F41" s="1720"/>
      <c r="G41" s="299">
        <f>G3</f>
        <v>43708</v>
      </c>
      <c r="H41" s="299">
        <f>H3</f>
        <v>43709</v>
      </c>
      <c r="I41" s="310" t="s">
        <v>305</v>
      </c>
      <c r="J41" s="310"/>
      <c r="M41" s="54"/>
      <c r="N41" s="191"/>
      <c r="O41" s="191"/>
      <c r="P41" s="192"/>
      <c r="Q41" s="192"/>
      <c r="R41" s="191"/>
      <c r="S41" s="54"/>
    </row>
    <row r="42" spans="1:19" ht="20.100000000000001" customHeight="1" x14ac:dyDescent="0.25">
      <c r="C42" s="1714" t="s">
        <v>518</v>
      </c>
      <c r="D42" s="1714"/>
      <c r="E42" s="1714"/>
      <c r="F42" s="1714"/>
      <c r="G42" s="300">
        <f>F15</f>
        <v>18425</v>
      </c>
      <c r="H42" s="300">
        <f>F16</f>
        <v>28733</v>
      </c>
      <c r="I42" s="313">
        <f>G42+H42</f>
        <v>47158</v>
      </c>
      <c r="J42" s="263"/>
      <c r="M42" s="54"/>
      <c r="N42" s="193"/>
      <c r="O42" s="74"/>
      <c r="P42" s="181"/>
      <c r="Q42" s="181"/>
      <c r="R42" s="183"/>
      <c r="S42" s="54"/>
    </row>
    <row r="43" spans="1:19" ht="20.100000000000001" customHeight="1" x14ac:dyDescent="0.25">
      <c r="C43" s="1714" t="s">
        <v>527</v>
      </c>
      <c r="D43" s="1714"/>
      <c r="E43" s="1714"/>
      <c r="F43" s="1714"/>
      <c r="G43" s="1715">
        <f>SUM(F12:F14,F17:F19)</f>
        <v>1485</v>
      </c>
      <c r="H43" s="1716"/>
      <c r="I43" s="313"/>
      <c r="J43" s="263"/>
      <c r="M43" s="54"/>
      <c r="N43" s="193"/>
      <c r="O43" s="74"/>
      <c r="P43" s="181"/>
      <c r="Q43" s="181"/>
      <c r="R43" s="183"/>
      <c r="S43" s="54"/>
    </row>
    <row r="44" spans="1:19" ht="20.100000000000001" customHeight="1" x14ac:dyDescent="0.25">
      <c r="C44" s="1714" t="s">
        <v>520</v>
      </c>
      <c r="D44" s="1714"/>
      <c r="E44" s="1714"/>
      <c r="F44" s="1714"/>
      <c r="G44" s="300">
        <f>SUM(F12:F14,F17:F19)*G8</f>
        <v>767.97379982854693</v>
      </c>
      <c r="H44" s="300">
        <f>SUM(F12:F14,F17:F19)*H8</f>
        <v>717.02620017145296</v>
      </c>
      <c r="I44" s="313">
        <f>G44+H44</f>
        <v>1485</v>
      </c>
      <c r="J44" s="263">
        <f>I42+I44</f>
        <v>48643</v>
      </c>
      <c r="M44" s="54"/>
      <c r="N44" s="193"/>
      <c r="O44" s="74"/>
      <c r="P44" s="181"/>
      <c r="Q44" s="181"/>
      <c r="R44" s="183"/>
      <c r="S44" s="54"/>
    </row>
    <row r="45" spans="1:19" ht="20.100000000000001" customHeight="1" x14ac:dyDescent="0.25">
      <c r="C45" s="294"/>
      <c r="D45" s="294"/>
      <c r="E45" s="294"/>
      <c r="F45" s="294" t="s">
        <v>519</v>
      </c>
      <c r="G45" s="302">
        <f>(G42+G44)/435.6</f>
        <v>44.06100505011144</v>
      </c>
      <c r="H45" s="302">
        <f>(H42+H44)/435.6</f>
        <v>67.607957300669085</v>
      </c>
      <c r="I45" s="264">
        <f>G45+H45</f>
        <v>111.66896235078053</v>
      </c>
      <c r="J45" s="263"/>
      <c r="M45" s="54"/>
      <c r="N45" s="193"/>
      <c r="O45" s="74"/>
      <c r="P45" s="181"/>
      <c r="Q45" s="181"/>
      <c r="R45" s="183"/>
      <c r="S45" s="54"/>
    </row>
    <row r="46" spans="1:19" ht="20.100000000000001" customHeight="1" x14ac:dyDescent="0.25">
      <c r="C46" s="1714" t="s">
        <v>515</v>
      </c>
      <c r="D46" s="1714"/>
      <c r="E46" s="1714"/>
      <c r="F46" s="1714"/>
      <c r="G46" s="301">
        <f>H15</f>
        <v>96</v>
      </c>
      <c r="H46" s="301">
        <f>H16</f>
        <v>96</v>
      </c>
      <c r="I46" s="313"/>
      <c r="J46" s="263"/>
      <c r="M46" s="54"/>
      <c r="N46" s="193"/>
      <c r="O46" s="74"/>
      <c r="P46" s="181"/>
      <c r="Q46" s="181"/>
      <c r="R46" s="183"/>
      <c r="S46" s="54"/>
    </row>
    <row r="47" spans="1:19" ht="20.100000000000001" customHeight="1" x14ac:dyDescent="0.25">
      <c r="C47" s="294"/>
      <c r="D47" s="294"/>
      <c r="E47" s="272"/>
      <c r="F47" s="294" t="s">
        <v>514</v>
      </c>
      <c r="G47" s="301">
        <f>SUM(H12:H14,H17:H19)</f>
        <v>8</v>
      </c>
      <c r="H47" s="301">
        <f>SUM(H12:H14,H17:H19)</f>
        <v>8</v>
      </c>
      <c r="I47" s="313"/>
      <c r="J47" s="263"/>
      <c r="M47" s="54"/>
      <c r="N47" s="193"/>
      <c r="O47" s="74"/>
      <c r="P47" s="181"/>
      <c r="Q47" s="181"/>
      <c r="R47" s="183"/>
      <c r="S47" s="54"/>
    </row>
    <row r="48" spans="1:19" ht="20.100000000000001" customHeight="1" x14ac:dyDescent="0.25">
      <c r="C48" s="1714" t="s">
        <v>513</v>
      </c>
      <c r="D48" s="1714"/>
      <c r="E48" s="1714"/>
      <c r="F48" s="1714"/>
      <c r="G48" s="301">
        <f>I15</f>
        <v>11</v>
      </c>
      <c r="H48" s="301">
        <f>I16</f>
        <v>10</v>
      </c>
      <c r="I48" s="313"/>
      <c r="J48" s="263"/>
      <c r="M48" s="54"/>
      <c r="N48" s="193"/>
      <c r="O48" s="74"/>
      <c r="P48" s="181"/>
      <c r="Q48" s="181"/>
      <c r="R48" s="183"/>
      <c r="S48" s="54"/>
    </row>
    <row r="49" spans="2:19" ht="20.100000000000001" customHeight="1" x14ac:dyDescent="0.25">
      <c r="C49" s="1714" t="s">
        <v>516</v>
      </c>
      <c r="D49" s="1714"/>
      <c r="E49" s="1714"/>
      <c r="F49" s="1714"/>
      <c r="G49" s="301">
        <f>SUM(I12:I14,I17:I19)</f>
        <v>0</v>
      </c>
      <c r="H49" s="301">
        <f>SUM(I12:I14,I17:I19)</f>
        <v>0</v>
      </c>
      <c r="I49" s="314"/>
      <c r="J49" s="315"/>
      <c r="M49" s="54"/>
      <c r="N49" s="153"/>
      <c r="O49" s="178"/>
      <c r="P49" s="187"/>
      <c r="Q49" s="187"/>
      <c r="R49" s="178"/>
      <c r="S49" s="54"/>
    </row>
    <row r="50" spans="2:19" ht="20.100000000000001" customHeight="1" x14ac:dyDescent="0.25">
      <c r="C50" s="294"/>
      <c r="D50" s="294"/>
      <c r="E50" s="294"/>
      <c r="F50" s="294" t="s">
        <v>561</v>
      </c>
      <c r="G50" s="301">
        <f>G46+G47-G48-G49</f>
        <v>93</v>
      </c>
      <c r="H50" s="301">
        <f>H46+H47-H48-H49</f>
        <v>94</v>
      </c>
      <c r="I50" s="316"/>
      <c r="J50" s="315"/>
      <c r="M50" s="54"/>
      <c r="N50" s="153"/>
      <c r="O50" s="178"/>
      <c r="P50" s="187"/>
      <c r="Q50" s="187"/>
      <c r="R50" s="178"/>
      <c r="S50" s="54"/>
    </row>
    <row r="51" spans="2:19" ht="20.100000000000001" customHeight="1" x14ac:dyDescent="0.25">
      <c r="C51" s="1714" t="s">
        <v>521</v>
      </c>
      <c r="D51" s="1714"/>
      <c r="E51" s="1714"/>
      <c r="F51" s="1714"/>
      <c r="G51" s="300">
        <f>G15</f>
        <v>44503</v>
      </c>
      <c r="H51" s="300">
        <f>G16</f>
        <v>74103</v>
      </c>
      <c r="I51" s="313">
        <f>G51+H51</f>
        <v>118606</v>
      </c>
      <c r="J51" s="315"/>
      <c r="M51" s="54"/>
      <c r="N51" s="153"/>
      <c r="O51" s="178"/>
      <c r="P51" s="187"/>
      <c r="Q51" s="187"/>
      <c r="R51" s="178"/>
      <c r="S51" s="54"/>
    </row>
    <row r="52" spans="2:19" ht="20.100000000000001" customHeight="1" x14ac:dyDescent="0.25">
      <c r="C52" s="1714" t="s">
        <v>528</v>
      </c>
      <c r="D52" s="1714"/>
      <c r="E52" s="1714"/>
      <c r="F52" s="1714"/>
      <c r="G52" s="1715">
        <f>SUM(G12:G14,G17:G19)</f>
        <v>32566</v>
      </c>
      <c r="H52" s="1716"/>
      <c r="I52" s="313"/>
      <c r="J52" s="315"/>
      <c r="M52" s="54"/>
      <c r="N52" s="153"/>
      <c r="O52" s="178"/>
      <c r="P52" s="187"/>
      <c r="Q52" s="187"/>
      <c r="R52" s="178"/>
      <c r="S52" s="54"/>
    </row>
    <row r="53" spans="2:19" ht="18.75" customHeight="1" x14ac:dyDescent="0.25">
      <c r="C53" s="1714" t="s">
        <v>529</v>
      </c>
      <c r="D53" s="1714"/>
      <c r="E53" s="1714"/>
      <c r="F53" s="1714"/>
      <c r="G53" s="300">
        <f>SUM(G12:G14,G17:G19)*G8</f>
        <v>16841.639572536336</v>
      </c>
      <c r="H53" s="300">
        <f>SUM(G12:G14,G17:G19)*H8</f>
        <v>15724.360427463662</v>
      </c>
      <c r="I53" s="313">
        <f>G53+H53</f>
        <v>32566</v>
      </c>
      <c r="J53" s="306">
        <f>I51+I53</f>
        <v>151172</v>
      </c>
      <c r="M53" s="54"/>
      <c r="N53" s="54"/>
      <c r="O53" s="54"/>
      <c r="P53" s="54"/>
      <c r="Q53" s="188"/>
      <c r="R53" s="188"/>
      <c r="S53" s="54"/>
    </row>
    <row r="54" spans="2:19" ht="18.75" customHeight="1" x14ac:dyDescent="0.25">
      <c r="C54" s="272"/>
      <c r="D54" s="280"/>
      <c r="E54" s="272"/>
      <c r="F54" s="259" t="s">
        <v>522</v>
      </c>
      <c r="G54" s="302">
        <f>(G51+G53)/435.6</f>
        <v>140.82791453750306</v>
      </c>
      <c r="H54" s="302">
        <f>(H51+H53)/435.6</f>
        <v>206.2152443238376</v>
      </c>
      <c r="I54" s="264">
        <f>G54+H54</f>
        <v>347.04315886134066</v>
      </c>
      <c r="J54" s="306"/>
      <c r="M54" s="54"/>
      <c r="N54" s="54"/>
      <c r="O54" s="54"/>
      <c r="P54" s="54"/>
      <c r="Q54" s="54"/>
      <c r="R54" s="54"/>
      <c r="S54" s="54"/>
    </row>
    <row r="55" spans="2:19" ht="10.5" customHeight="1" x14ac:dyDescent="0.2">
      <c r="C55" s="55"/>
      <c r="D55" s="110"/>
      <c r="E55" s="55"/>
      <c r="F55" s="55"/>
      <c r="G55" s="55"/>
      <c r="H55" s="55"/>
      <c r="I55" s="56"/>
      <c r="J55" s="55"/>
      <c r="M55" s="54"/>
      <c r="N55" s="54"/>
      <c r="O55" s="54"/>
      <c r="P55" s="54"/>
      <c r="Q55" s="54"/>
      <c r="R55" s="54"/>
      <c r="S55" s="54"/>
    </row>
    <row r="56" spans="2:19" ht="22.5" customHeight="1" x14ac:dyDescent="0.25">
      <c r="C56" s="55"/>
      <c r="D56" s="110"/>
      <c r="E56" s="55"/>
      <c r="F56" s="55"/>
      <c r="G56" s="311">
        <f>G3</f>
        <v>43708</v>
      </c>
      <c r="H56" s="311">
        <f>H3</f>
        <v>43709</v>
      </c>
      <c r="I56" s="312" t="s">
        <v>305</v>
      </c>
      <c r="J56" s="194"/>
      <c r="M56" s="54"/>
      <c r="N56" s="54"/>
      <c r="O56" s="54"/>
      <c r="P56" s="54"/>
      <c r="Q56" s="54"/>
      <c r="R56" s="54"/>
      <c r="S56" s="54"/>
    </row>
    <row r="57" spans="2:19" ht="20.100000000000001" customHeight="1" x14ac:dyDescent="0.2">
      <c r="B57" s="272" t="s">
        <v>317</v>
      </c>
      <c r="C57" s="272"/>
      <c r="D57" s="283"/>
      <c r="E57" s="284"/>
      <c r="F57" s="284"/>
      <c r="G57" s="303">
        <f>G5</f>
        <v>816.03800000000001</v>
      </c>
      <c r="H57" s="303">
        <f>H5</f>
        <v>759.60199999999998</v>
      </c>
      <c r="I57" s="297">
        <f>G57+H57</f>
        <v>1575.6399999999999</v>
      </c>
      <c r="J57" s="195"/>
      <c r="L57" s="169"/>
    </row>
    <row r="58" spans="2:19" ht="20.100000000000001" customHeight="1" x14ac:dyDescent="0.2">
      <c r="B58" s="272" t="s">
        <v>430</v>
      </c>
      <c r="C58" s="272"/>
      <c r="D58" s="283"/>
      <c r="E58" s="284"/>
      <c r="F58" s="284"/>
      <c r="G58" s="303">
        <f>G6</f>
        <v>0</v>
      </c>
      <c r="H58" s="303">
        <f>H6</f>
        <v>0</v>
      </c>
      <c r="I58" s="297">
        <f>G58+H58</f>
        <v>0</v>
      </c>
      <c r="J58" s="195"/>
      <c r="L58" s="169"/>
    </row>
    <row r="59" spans="2:19" ht="20.100000000000001" customHeight="1" x14ac:dyDescent="0.2">
      <c r="B59" s="272" t="s">
        <v>318</v>
      </c>
      <c r="C59" s="272"/>
      <c r="D59" s="280"/>
      <c r="E59" s="272"/>
      <c r="F59" s="272"/>
      <c r="G59" s="303">
        <f>G57+G58</f>
        <v>816.03800000000001</v>
      </c>
      <c r="H59" s="303">
        <f>H57+H58</f>
        <v>759.60199999999998</v>
      </c>
      <c r="I59" s="297">
        <f>G59+H59</f>
        <v>1575.6399999999999</v>
      </c>
      <c r="J59" s="195"/>
      <c r="L59" s="169"/>
    </row>
    <row r="60" spans="2:19" ht="20.100000000000001" customHeight="1" x14ac:dyDescent="0.2">
      <c r="B60" s="272" t="s">
        <v>302</v>
      </c>
      <c r="C60" s="272"/>
      <c r="D60" s="280"/>
      <c r="E60" s="272"/>
      <c r="F60" s="272"/>
      <c r="G60" s="303">
        <f>G7</f>
        <v>245.7</v>
      </c>
      <c r="H60" s="303">
        <f>H7</f>
        <v>231.7</v>
      </c>
      <c r="I60" s="297">
        <f>G60+H60</f>
        <v>477.4</v>
      </c>
      <c r="J60" s="195"/>
      <c r="L60" s="169"/>
    </row>
    <row r="61" spans="2:19" ht="20.100000000000001" customHeight="1" x14ac:dyDescent="0.2">
      <c r="B61" s="272" t="s">
        <v>606</v>
      </c>
      <c r="C61" s="272"/>
      <c r="D61" s="280"/>
      <c r="E61" s="272"/>
      <c r="F61" s="272"/>
      <c r="G61" s="304">
        <f>G57+G60</f>
        <v>1061.7380000000001</v>
      </c>
      <c r="H61" s="304">
        <f>H57+H60</f>
        <v>991.30199999999991</v>
      </c>
      <c r="I61" s="297">
        <f>G61+H61</f>
        <v>2053.04</v>
      </c>
      <c r="J61" s="195"/>
    </row>
    <row r="62" spans="2:19" ht="20.100000000000001" customHeight="1" x14ac:dyDescent="0.2">
      <c r="B62" s="272" t="s">
        <v>473</v>
      </c>
      <c r="C62" s="272"/>
      <c r="D62" s="280"/>
      <c r="E62" s="272"/>
      <c r="F62" s="272"/>
      <c r="G62" s="410">
        <f>G8</f>
        <v>0.51715407395861746</v>
      </c>
      <c r="H62" s="410">
        <f>H8</f>
        <v>0.48284592604138249</v>
      </c>
      <c r="I62" s="297">
        <f>(G62+H62)*100</f>
        <v>100</v>
      </c>
      <c r="J62" s="195"/>
      <c r="L62" s="170"/>
    </row>
    <row r="63" spans="2:19" ht="20.100000000000001" customHeight="1" x14ac:dyDescent="0.2">
      <c r="B63" s="272" t="s">
        <v>560</v>
      </c>
      <c r="C63" s="272"/>
      <c r="D63" s="280"/>
      <c r="E63" s="272"/>
      <c r="F63" s="272"/>
      <c r="G63" s="304">
        <f>ROUND(J21*G8,3)</f>
        <v>914.68200000000002</v>
      </c>
      <c r="H63" s="304">
        <f>ROUND(J21*H8,3)</f>
        <v>854.00199999999995</v>
      </c>
      <c r="I63" s="305">
        <f>G63+H63</f>
        <v>1768.684</v>
      </c>
      <c r="J63" s="195"/>
      <c r="M63" s="11" t="s">
        <v>4</v>
      </c>
    </row>
    <row r="64" spans="2:19" ht="20.100000000000001" customHeight="1" x14ac:dyDescent="0.2">
      <c r="B64" s="272" t="s">
        <v>319</v>
      </c>
      <c r="C64" s="272"/>
      <c r="D64" s="280"/>
      <c r="E64" s="272"/>
      <c r="F64" s="272"/>
      <c r="G64" s="304">
        <f>G54</f>
        <v>140.82791453750306</v>
      </c>
      <c r="H64" s="304">
        <f>H54</f>
        <v>206.2152443238376</v>
      </c>
      <c r="I64" s="297">
        <f>G64+H64</f>
        <v>347.04315886134066</v>
      </c>
      <c r="J64" s="195"/>
      <c r="L64" s="169"/>
      <c r="M64" s="11" t="s">
        <v>4</v>
      </c>
    </row>
    <row r="65" spans="1:11" ht="20.100000000000001" customHeight="1" x14ac:dyDescent="0.2">
      <c r="B65" s="319" t="s">
        <v>578</v>
      </c>
      <c r="C65" s="272"/>
      <c r="D65" s="280"/>
      <c r="E65" s="272"/>
      <c r="F65" s="272"/>
      <c r="G65" s="304">
        <f>ROUND(G45-G50*0.06,3)</f>
        <v>38.481000000000002</v>
      </c>
      <c r="H65" s="304">
        <f>ROUND(H45-H50*0.06,3)</f>
        <v>61.968000000000004</v>
      </c>
      <c r="I65" s="297">
        <f>G65+H65</f>
        <v>100.44900000000001</v>
      </c>
      <c r="J65" s="195"/>
    </row>
    <row r="66" spans="1:11" ht="20.100000000000001" customHeight="1" x14ac:dyDescent="0.2">
      <c r="B66" s="272" t="s">
        <v>324</v>
      </c>
      <c r="C66" s="272"/>
      <c r="D66" s="280"/>
      <c r="E66" s="272"/>
      <c r="F66" s="272"/>
      <c r="G66" s="304">
        <f>G45</f>
        <v>44.06100505011144</v>
      </c>
      <c r="H66" s="304">
        <f>H45</f>
        <v>67.607957300669085</v>
      </c>
      <c r="I66" s="297">
        <f>G66+H66</f>
        <v>111.66896235078053</v>
      </c>
      <c r="J66" s="195"/>
    </row>
    <row r="67" spans="1:11" ht="20.100000000000001" customHeight="1" x14ac:dyDescent="0.2">
      <c r="B67" s="272" t="s">
        <v>326</v>
      </c>
      <c r="C67" s="272"/>
      <c r="D67" s="280"/>
      <c r="E67" s="272"/>
      <c r="F67" s="272"/>
      <c r="G67" s="306">
        <f>G50</f>
        <v>93</v>
      </c>
      <c r="H67" s="306">
        <f>H50</f>
        <v>94</v>
      </c>
      <c r="I67" s="297"/>
      <c r="J67" s="195"/>
    </row>
    <row r="68" spans="1:11" ht="20.100000000000001" customHeight="1" x14ac:dyDescent="0.2">
      <c r="B68" s="272" t="s">
        <v>325</v>
      </c>
      <c r="C68" s="272"/>
      <c r="D68" s="280"/>
      <c r="E68" s="272"/>
      <c r="F68" s="272"/>
      <c r="G68" s="307">
        <v>0.06</v>
      </c>
      <c r="H68" s="307">
        <v>0.06</v>
      </c>
      <c r="I68" s="297"/>
      <c r="J68" s="195"/>
    </row>
    <row r="69" spans="1:11" ht="20.100000000000001" customHeight="1" x14ac:dyDescent="0.2">
      <c r="B69" s="272" t="s">
        <v>298</v>
      </c>
      <c r="C69" s="272"/>
      <c r="D69" s="280"/>
      <c r="E69" s="272"/>
      <c r="F69" s="272"/>
      <c r="G69" s="304">
        <f>G64+G65</f>
        <v>179.30891453750306</v>
      </c>
      <c r="H69" s="304">
        <f>H64+H65</f>
        <v>268.18324432383758</v>
      </c>
      <c r="I69" s="297">
        <f t="shared" ref="I69:I75" si="1">G69+H69</f>
        <v>447.49215886134061</v>
      </c>
      <c r="J69" s="195"/>
    </row>
    <row r="70" spans="1:11" ht="20.100000000000001" customHeight="1" x14ac:dyDescent="0.2">
      <c r="B70" s="272" t="s">
        <v>299</v>
      </c>
      <c r="C70" s="272"/>
      <c r="D70" s="280"/>
      <c r="E70" s="272"/>
      <c r="F70" s="272"/>
      <c r="G70" s="304">
        <f>ROUND(G69*G59/G61,3)</f>
        <v>137.81399999999999</v>
      </c>
      <c r="H70" s="304">
        <f>ROUND(H69*H59/H61,3)</f>
        <v>205.5</v>
      </c>
      <c r="I70" s="297">
        <f t="shared" si="1"/>
        <v>343.31399999999996</v>
      </c>
      <c r="J70" s="195"/>
    </row>
    <row r="71" spans="1:11" ht="20.100000000000001" customHeight="1" x14ac:dyDescent="0.2">
      <c r="B71" s="272" t="s">
        <v>307</v>
      </c>
      <c r="C71" s="272"/>
      <c r="D71" s="280"/>
      <c r="E71" s="272"/>
      <c r="F71" s="272"/>
      <c r="G71" s="304">
        <f>G63-G61</f>
        <v>-147.05600000000004</v>
      </c>
      <c r="H71" s="304">
        <f>H63-H61</f>
        <v>-137.29999999999995</v>
      </c>
      <c r="I71" s="297">
        <f t="shared" si="1"/>
        <v>-284.35599999999999</v>
      </c>
      <c r="J71" s="195"/>
    </row>
    <row r="72" spans="1:11" ht="20.100000000000001" customHeight="1" x14ac:dyDescent="0.2">
      <c r="B72" s="272" t="s">
        <v>300</v>
      </c>
      <c r="C72" s="272"/>
      <c r="D72" s="280"/>
      <c r="E72" s="272"/>
      <c r="F72" s="272"/>
      <c r="G72" s="304">
        <f>ROUND(G69*G71/G63,3)</f>
        <v>-28.827999999999999</v>
      </c>
      <c r="H72" s="304">
        <f>ROUND(H69*H71/H63,3)</f>
        <v>-43.116</v>
      </c>
      <c r="I72" s="297">
        <f t="shared" si="1"/>
        <v>-71.944000000000003</v>
      </c>
      <c r="J72" s="195"/>
    </row>
    <row r="73" spans="1:11" ht="20.100000000000001" customHeight="1" x14ac:dyDescent="0.2">
      <c r="B73" s="272" t="s">
        <v>301</v>
      </c>
      <c r="C73" s="272"/>
      <c r="D73" s="280"/>
      <c r="E73" s="272"/>
      <c r="F73" s="272"/>
      <c r="G73" s="304">
        <f>ROUND(G59*G72/G61,3)</f>
        <v>-22.157</v>
      </c>
      <c r="H73" s="304">
        <f>ROUND(H59*H72/H61,3)</f>
        <v>-33.037999999999997</v>
      </c>
      <c r="I73" s="297">
        <f t="shared" si="1"/>
        <v>-55.194999999999993</v>
      </c>
      <c r="J73" s="195"/>
    </row>
    <row r="74" spans="1:11" ht="20.100000000000001" customHeight="1" x14ac:dyDescent="0.2">
      <c r="B74" s="272" t="s">
        <v>303</v>
      </c>
      <c r="C74" s="272"/>
      <c r="D74" s="280"/>
      <c r="E74" s="272"/>
      <c r="F74" s="272"/>
      <c r="G74" s="304">
        <f>G70-G73</f>
        <v>159.971</v>
      </c>
      <c r="H74" s="304">
        <f>H70-H73</f>
        <v>238.53800000000001</v>
      </c>
      <c r="I74" s="297">
        <f t="shared" si="1"/>
        <v>398.50900000000001</v>
      </c>
      <c r="J74" s="195"/>
    </row>
    <row r="75" spans="1:11" ht="20.100000000000001" customHeight="1" x14ac:dyDescent="0.25">
      <c r="B75" s="272" t="s">
        <v>306</v>
      </c>
      <c r="C75" s="272"/>
      <c r="D75" s="280"/>
      <c r="E75" s="272"/>
      <c r="F75" s="272"/>
      <c r="G75" s="304">
        <f>MIN(G59,G74)</f>
        <v>159.971</v>
      </c>
      <c r="H75" s="304">
        <f>MIN(H59,H74)</f>
        <v>238.53800000000001</v>
      </c>
      <c r="I75" s="305">
        <f t="shared" si="1"/>
        <v>398.50900000000001</v>
      </c>
      <c r="J75" s="196"/>
    </row>
    <row r="76" spans="1:11" ht="20.100000000000001" customHeight="1" x14ac:dyDescent="0.2">
      <c r="G76" s="320">
        <f>G3</f>
        <v>43708</v>
      </c>
      <c r="H76" s="320">
        <f>H3</f>
        <v>43709</v>
      </c>
      <c r="I76" s="321" t="s">
        <v>12</v>
      </c>
      <c r="J76" s="158"/>
    </row>
    <row r="77" spans="1:11" ht="21.75" customHeight="1" x14ac:dyDescent="0.25">
      <c r="A77" s="1717" t="s">
        <v>309</v>
      </c>
      <c r="B77" s="1717"/>
      <c r="C77" s="1717"/>
      <c r="D77" s="1717"/>
      <c r="E77" s="1717"/>
      <c r="F77" s="1717"/>
      <c r="G77" s="1717"/>
      <c r="H77" s="1717"/>
      <c r="I77" s="1717"/>
      <c r="J77" s="1717"/>
      <c r="K77" s="1717"/>
    </row>
    <row r="78" spans="1:11" ht="5.45" customHeight="1" x14ac:dyDescent="0.2">
      <c r="G78" s="157"/>
      <c r="H78" s="157"/>
      <c r="I78" s="157"/>
      <c r="J78" s="157"/>
      <c r="K78" s="158"/>
    </row>
    <row r="79" spans="1:11" ht="29.1" customHeight="1" x14ac:dyDescent="0.25">
      <c r="C79" s="279" t="s">
        <v>314</v>
      </c>
      <c r="D79" s="272"/>
      <c r="E79" s="294"/>
      <c r="F79" s="272"/>
      <c r="G79" s="253">
        <f>G3</f>
        <v>43708</v>
      </c>
      <c r="H79" s="253">
        <f>H3</f>
        <v>43709</v>
      </c>
      <c r="I79" s="310" t="s">
        <v>305</v>
      </c>
      <c r="J79" s="137"/>
      <c r="K79" s="139"/>
    </row>
    <row r="80" spans="1:11" ht="17.25" customHeight="1" x14ac:dyDescent="0.25">
      <c r="C80" s="1714" t="s">
        <v>530</v>
      </c>
      <c r="D80" s="1714"/>
      <c r="E80" s="1714"/>
      <c r="F80" s="1714"/>
      <c r="G80" s="1718">
        <f>F34+F35</f>
        <v>1090</v>
      </c>
      <c r="H80" s="1718"/>
      <c r="I80" s="322"/>
      <c r="J80" s="172"/>
    </row>
    <row r="81" spans="2:12" ht="17.25" customHeight="1" x14ac:dyDescent="0.25">
      <c r="C81" s="1714" t="s">
        <v>531</v>
      </c>
      <c r="D81" s="1714"/>
      <c r="E81" s="1714"/>
      <c r="F81" s="1714"/>
      <c r="G81" s="291">
        <f>G80*G30</f>
        <v>573.92515653920384</v>
      </c>
      <c r="H81" s="291">
        <f>G80*H30</f>
        <v>516.07484346079627</v>
      </c>
      <c r="I81" s="322">
        <f>G81+H81</f>
        <v>1090</v>
      </c>
      <c r="J81" s="172"/>
    </row>
    <row r="82" spans="2:12" ht="17.25" customHeight="1" x14ac:dyDescent="0.25">
      <c r="C82" s="1714" t="s">
        <v>519</v>
      </c>
      <c r="D82" s="1714"/>
      <c r="E82" s="1714"/>
      <c r="F82" s="1714"/>
      <c r="G82" s="317">
        <f>G81/435.6</f>
        <v>1.3175508644150684</v>
      </c>
      <c r="H82" s="317">
        <f>H81/435.6</f>
        <v>1.1847448196987975</v>
      </c>
      <c r="I82" s="303">
        <f>G82+H82</f>
        <v>2.5022956841138662</v>
      </c>
      <c r="J82" s="172"/>
    </row>
    <row r="83" spans="2:12" ht="17.25" customHeight="1" x14ac:dyDescent="0.25">
      <c r="C83" s="272"/>
      <c r="D83" s="294"/>
      <c r="E83" s="294"/>
      <c r="F83" s="294" t="s">
        <v>534</v>
      </c>
      <c r="G83" s="1718">
        <f>H34</f>
        <v>1</v>
      </c>
      <c r="H83" s="1718"/>
      <c r="I83" s="322"/>
      <c r="J83" s="172"/>
    </row>
    <row r="84" spans="2:12" ht="17.25" customHeight="1" x14ac:dyDescent="0.25">
      <c r="C84" s="272"/>
      <c r="D84" s="294"/>
      <c r="E84" s="294"/>
      <c r="F84" s="294" t="s">
        <v>535</v>
      </c>
      <c r="G84" s="1718">
        <f>I34</f>
        <v>0</v>
      </c>
      <c r="H84" s="1718"/>
      <c r="I84" s="322"/>
      <c r="J84" s="172"/>
    </row>
    <row r="85" spans="2:12" ht="17.25" customHeight="1" x14ac:dyDescent="0.3">
      <c r="C85" s="1714" t="s">
        <v>562</v>
      </c>
      <c r="D85" s="1714"/>
      <c r="E85" s="1714"/>
      <c r="F85" s="1714"/>
      <c r="G85" s="291">
        <f>$G83-G84</f>
        <v>1</v>
      </c>
      <c r="H85" s="291">
        <f>$G83-H84</f>
        <v>1</v>
      </c>
      <c r="I85" s="322"/>
      <c r="J85" s="172"/>
    </row>
    <row r="86" spans="2:12" ht="17.25" customHeight="1" x14ac:dyDescent="0.25">
      <c r="C86" s="1714" t="s">
        <v>532</v>
      </c>
      <c r="D86" s="1714"/>
      <c r="E86" s="1714"/>
      <c r="F86" s="1714"/>
      <c r="G86" s="1718">
        <f>G34+G35</f>
        <v>122647</v>
      </c>
      <c r="H86" s="1719"/>
      <c r="I86" s="322"/>
      <c r="J86" s="172"/>
    </row>
    <row r="87" spans="2:12" ht="17.25" customHeight="1" x14ac:dyDescent="0.25">
      <c r="C87" s="1714" t="s">
        <v>517</v>
      </c>
      <c r="D87" s="1714"/>
      <c r="E87" s="1714"/>
      <c r="F87" s="1714"/>
      <c r="G87" s="291">
        <f>G86*G30</f>
        <v>64578.163921159387</v>
      </c>
      <c r="H87" s="291">
        <f>G86*H30</f>
        <v>58068.836078840621</v>
      </c>
      <c r="I87" s="306">
        <f>G87+H87</f>
        <v>122647</v>
      </c>
      <c r="J87" s="172"/>
      <c r="L87" s="169"/>
    </row>
    <row r="88" spans="2:12" ht="17.25" customHeight="1" x14ac:dyDescent="0.25">
      <c r="C88" s="1714" t="s">
        <v>533</v>
      </c>
      <c r="D88" s="1714"/>
      <c r="E88" s="1714"/>
      <c r="F88" s="1714"/>
      <c r="G88" s="317">
        <f>ROUND(G87/435.6,3)</f>
        <v>148.251</v>
      </c>
      <c r="H88" s="317">
        <f>ROUND(H87/435.6,3)</f>
        <v>133.30799999999999</v>
      </c>
      <c r="I88" s="304">
        <f>G88+H88</f>
        <v>281.55899999999997</v>
      </c>
      <c r="J88" s="141"/>
      <c r="L88" s="169"/>
    </row>
    <row r="89" spans="2:12" ht="7.5" customHeight="1" x14ac:dyDescent="0.2">
      <c r="G89" s="157"/>
      <c r="H89" s="157"/>
      <c r="I89" s="158"/>
      <c r="J89" s="158"/>
    </row>
    <row r="90" spans="2:12" ht="26.45" customHeight="1" x14ac:dyDescent="0.25">
      <c r="C90" s="55"/>
      <c r="D90" s="110"/>
      <c r="E90" s="55"/>
      <c r="F90" s="55"/>
      <c r="G90" s="327">
        <f>G3</f>
        <v>43708</v>
      </c>
      <c r="H90" s="327">
        <f>H3</f>
        <v>43709</v>
      </c>
      <c r="I90" s="372" t="s">
        <v>305</v>
      </c>
      <c r="J90" s="194"/>
    </row>
    <row r="91" spans="2:12" ht="20.100000000000001" customHeight="1" x14ac:dyDescent="0.2">
      <c r="B91" s="272" t="s">
        <v>317</v>
      </c>
      <c r="C91" s="272"/>
      <c r="D91" s="324"/>
      <c r="E91" s="325"/>
      <c r="F91" s="325"/>
      <c r="G91" s="303">
        <f>G27</f>
        <v>34.909999999999997</v>
      </c>
      <c r="H91" s="303">
        <f>H27</f>
        <v>5.6239999999999997</v>
      </c>
      <c r="I91" s="297">
        <f>G91+H91</f>
        <v>40.533999999999999</v>
      </c>
      <c r="J91" s="195"/>
      <c r="K91" s="169"/>
    </row>
    <row r="92" spans="2:12" ht="20.100000000000001" customHeight="1" x14ac:dyDescent="0.2">
      <c r="B92" s="272" t="s">
        <v>430</v>
      </c>
      <c r="C92" s="272"/>
      <c r="D92" s="324"/>
      <c r="E92" s="325"/>
      <c r="F92" s="325"/>
      <c r="G92" s="303">
        <f>G28</f>
        <v>0</v>
      </c>
      <c r="H92" s="303">
        <f>H28</f>
        <v>0</v>
      </c>
      <c r="I92" s="297">
        <f>G92+H92</f>
        <v>0</v>
      </c>
      <c r="J92" s="195"/>
      <c r="K92" s="169"/>
      <c r="L92" s="167"/>
    </row>
    <row r="93" spans="2:12" ht="20.100000000000001" customHeight="1" x14ac:dyDescent="0.2">
      <c r="B93" s="272" t="s">
        <v>318</v>
      </c>
      <c r="C93" s="272"/>
      <c r="D93" s="326"/>
      <c r="E93" s="323"/>
      <c r="F93" s="323"/>
      <c r="G93" s="303">
        <f>G91+G92</f>
        <v>34.909999999999997</v>
      </c>
      <c r="H93" s="303">
        <f>H91+H92</f>
        <v>5.6239999999999997</v>
      </c>
      <c r="I93" s="297">
        <f>G93+H93</f>
        <v>40.533999999999999</v>
      </c>
      <c r="J93" s="195"/>
      <c r="K93" s="169"/>
      <c r="L93" s="167"/>
    </row>
    <row r="94" spans="2:12" ht="20.100000000000001" customHeight="1" x14ac:dyDescent="0.2">
      <c r="B94" s="272" t="s">
        <v>302</v>
      </c>
      <c r="C94" s="272"/>
      <c r="D94" s="326"/>
      <c r="E94" s="323"/>
      <c r="F94" s="323"/>
      <c r="G94" s="303">
        <f>G29</f>
        <v>232.49700000000001</v>
      </c>
      <c r="H94" s="303">
        <f>H29</f>
        <v>234.82900000000001</v>
      </c>
      <c r="I94" s="297">
        <f>G94+H94</f>
        <v>467.32600000000002</v>
      </c>
      <c r="J94" s="195"/>
      <c r="K94" s="169"/>
      <c r="L94" s="169"/>
    </row>
    <row r="95" spans="2:12" ht="20.100000000000001" customHeight="1" x14ac:dyDescent="0.2">
      <c r="B95" s="272" t="s">
        <v>606</v>
      </c>
      <c r="C95" s="272"/>
      <c r="D95" s="326"/>
      <c r="E95" s="323"/>
      <c r="F95" s="323"/>
      <c r="G95" s="304">
        <f>G91+G94</f>
        <v>267.40700000000004</v>
      </c>
      <c r="H95" s="304">
        <f>H91+H94</f>
        <v>240.453</v>
      </c>
      <c r="I95" s="297">
        <f>G95+H95</f>
        <v>507.86</v>
      </c>
      <c r="J95" s="195"/>
    </row>
    <row r="96" spans="2:12" ht="20.100000000000001" customHeight="1" x14ac:dyDescent="0.2">
      <c r="B96" s="272" t="s">
        <v>308</v>
      </c>
      <c r="C96" s="272"/>
      <c r="D96" s="326"/>
      <c r="E96" s="323"/>
      <c r="F96" s="323"/>
      <c r="G96" s="410">
        <f>G30</f>
        <v>0.52653684086165486</v>
      </c>
      <c r="H96" s="410">
        <f>H30</f>
        <v>0.47346315913834519</v>
      </c>
      <c r="I96" s="297">
        <f>(G96+H96)*100</f>
        <v>100</v>
      </c>
      <c r="J96" s="195"/>
      <c r="K96" s="170"/>
    </row>
    <row r="97" spans="2:12" ht="20.100000000000001" customHeight="1" x14ac:dyDescent="0.2">
      <c r="B97" s="272" t="s">
        <v>559</v>
      </c>
      <c r="C97" s="272"/>
      <c r="D97" s="326"/>
      <c r="E97" s="323"/>
      <c r="F97" s="323"/>
      <c r="G97" s="304">
        <f>ROUND($J$36*G96,3)</f>
        <v>242.31200000000001</v>
      </c>
      <c r="H97" s="304">
        <f>ROUND($J$36*H96,3)</f>
        <v>217.88800000000001</v>
      </c>
      <c r="I97" s="305">
        <f>G97+H97</f>
        <v>460.20000000000005</v>
      </c>
      <c r="J97" s="195"/>
    </row>
    <row r="98" spans="2:12" ht="20.100000000000001" customHeight="1" x14ac:dyDescent="0.2">
      <c r="B98" s="272" t="s">
        <v>319</v>
      </c>
      <c r="C98" s="272"/>
      <c r="D98" s="326"/>
      <c r="E98" s="323"/>
      <c r="F98" s="323"/>
      <c r="G98" s="304">
        <f>G88</f>
        <v>148.251</v>
      </c>
      <c r="H98" s="304">
        <f>H88</f>
        <v>133.30799999999999</v>
      </c>
      <c r="I98" s="297">
        <f>G98+H98</f>
        <v>281.55899999999997</v>
      </c>
      <c r="J98" s="195"/>
      <c r="K98" s="169"/>
    </row>
    <row r="99" spans="2:12" ht="20.100000000000001" customHeight="1" x14ac:dyDescent="0.2">
      <c r="B99" s="319" t="s">
        <v>578</v>
      </c>
      <c r="C99" s="272"/>
      <c r="D99" s="326"/>
      <c r="E99" s="323"/>
      <c r="F99" s="323"/>
      <c r="G99" s="304">
        <f>ROUND(G82-G85*0.06,3)</f>
        <v>1.258</v>
      </c>
      <c r="H99" s="304">
        <f>ROUND(H82-H85*0.06,3)</f>
        <v>1.125</v>
      </c>
      <c r="I99" s="297">
        <f>G99+H99</f>
        <v>2.383</v>
      </c>
      <c r="J99" s="195"/>
    </row>
    <row r="100" spans="2:12" ht="20.100000000000001" customHeight="1" x14ac:dyDescent="0.2">
      <c r="B100" s="272" t="s">
        <v>324</v>
      </c>
      <c r="C100" s="272"/>
      <c r="D100" s="326"/>
      <c r="E100" s="323"/>
      <c r="F100" s="323"/>
      <c r="G100" s="304">
        <f>G82</f>
        <v>1.3175508644150684</v>
      </c>
      <c r="H100" s="304">
        <f>H82</f>
        <v>1.1847448196987975</v>
      </c>
      <c r="I100" s="297">
        <f>G100+H100</f>
        <v>2.5022956841138662</v>
      </c>
      <c r="J100" s="195"/>
    </row>
    <row r="101" spans="2:12" ht="20.100000000000001" customHeight="1" x14ac:dyDescent="0.2">
      <c r="B101" s="272" t="s">
        <v>326</v>
      </c>
      <c r="C101" s="272"/>
      <c r="D101" s="326"/>
      <c r="E101" s="323"/>
      <c r="F101" s="323"/>
      <c r="G101" s="306">
        <f>$H$85</f>
        <v>1</v>
      </c>
      <c r="H101" s="306">
        <f>$H$85</f>
        <v>1</v>
      </c>
      <c r="I101" s="297"/>
      <c r="J101" s="195"/>
    </row>
    <row r="102" spans="2:12" ht="20.100000000000001" customHeight="1" x14ac:dyDescent="0.2">
      <c r="B102" s="272" t="s">
        <v>325</v>
      </c>
      <c r="C102" s="272"/>
      <c r="D102" s="326"/>
      <c r="E102" s="323"/>
      <c r="F102" s="323"/>
      <c r="G102" s="307">
        <v>0.06</v>
      </c>
      <c r="H102" s="307">
        <v>0.06</v>
      </c>
      <c r="I102" s="297"/>
      <c r="J102" s="195"/>
    </row>
    <row r="103" spans="2:12" ht="20.100000000000001" customHeight="1" x14ac:dyDescent="0.2">
      <c r="B103" s="272" t="s">
        <v>298</v>
      </c>
      <c r="C103" s="272"/>
      <c r="D103" s="326"/>
      <c r="E103" s="323"/>
      <c r="F103" s="323"/>
      <c r="G103" s="304">
        <f>G98+G99</f>
        <v>149.50900000000001</v>
      </c>
      <c r="H103" s="304">
        <f>H98+H99</f>
        <v>134.43299999999999</v>
      </c>
      <c r="I103" s="297">
        <f t="shared" ref="I103:I109" si="2">G103+H103</f>
        <v>283.94200000000001</v>
      </c>
      <c r="J103" s="195"/>
    </row>
    <row r="104" spans="2:12" ht="20.100000000000001" customHeight="1" x14ac:dyDescent="0.2">
      <c r="B104" s="272" t="s">
        <v>299</v>
      </c>
      <c r="C104" s="272"/>
      <c r="D104" s="326"/>
      <c r="E104" s="323"/>
      <c r="F104" s="323"/>
      <c r="G104" s="304">
        <f>ROUND(G103*G93/G95,3)</f>
        <v>19.518000000000001</v>
      </c>
      <c r="H104" s="304">
        <f>ROUND(H103*H93/H95,3)</f>
        <v>3.1440000000000001</v>
      </c>
      <c r="I104" s="297">
        <f t="shared" si="2"/>
        <v>22.661999999999999</v>
      </c>
      <c r="J104" s="195"/>
    </row>
    <row r="105" spans="2:12" ht="20.100000000000001" customHeight="1" x14ac:dyDescent="0.2">
      <c r="B105" s="272" t="s">
        <v>307</v>
      </c>
      <c r="C105" s="272"/>
      <c r="D105" s="326"/>
      <c r="E105" s="323"/>
      <c r="F105" s="323"/>
      <c r="G105" s="304">
        <f>G97-G95</f>
        <v>-25.095000000000027</v>
      </c>
      <c r="H105" s="304">
        <f>H97-H95</f>
        <v>-22.564999999999998</v>
      </c>
      <c r="I105" s="297">
        <f t="shared" si="2"/>
        <v>-47.660000000000025</v>
      </c>
      <c r="J105" s="195"/>
    </row>
    <row r="106" spans="2:12" ht="20.100000000000001" customHeight="1" x14ac:dyDescent="0.2">
      <c r="B106" s="272" t="s">
        <v>300</v>
      </c>
      <c r="C106" s="272"/>
      <c r="D106" s="326"/>
      <c r="E106" s="323"/>
      <c r="F106" s="323"/>
      <c r="G106" s="304">
        <f>G103*G105/G97</f>
        <v>-15.483873497804501</v>
      </c>
      <c r="H106" s="304">
        <f>H103*H105/H97</f>
        <v>-13.922201520964897</v>
      </c>
      <c r="I106" s="297">
        <f t="shared" si="2"/>
        <v>-29.4060750187694</v>
      </c>
      <c r="J106" s="195"/>
    </row>
    <row r="107" spans="2:12" ht="20.100000000000001" customHeight="1" x14ac:dyDescent="0.2">
      <c r="B107" s="272" t="s">
        <v>301</v>
      </c>
      <c r="C107" s="272"/>
      <c r="D107" s="326"/>
      <c r="E107" s="323"/>
      <c r="F107" s="323"/>
      <c r="G107" s="304">
        <f>G93*G106/G95</f>
        <v>-2.0214206202842671</v>
      </c>
      <c r="H107" s="304">
        <f>H93*H106/H95</f>
        <v>-0.32562896430448601</v>
      </c>
      <c r="I107" s="297">
        <f t="shared" si="2"/>
        <v>-2.3470495845887531</v>
      </c>
      <c r="J107" s="195"/>
    </row>
    <row r="108" spans="2:12" ht="20.100000000000001" customHeight="1" x14ac:dyDescent="0.2">
      <c r="B108" s="272" t="s">
        <v>303</v>
      </c>
      <c r="C108" s="272"/>
      <c r="D108" s="326"/>
      <c r="E108" s="323"/>
      <c r="F108" s="323"/>
      <c r="G108" s="304">
        <f>G104-G107</f>
        <v>21.539420620284268</v>
      </c>
      <c r="H108" s="304">
        <f>H104-H107</f>
        <v>3.4696289643044862</v>
      </c>
      <c r="I108" s="297">
        <f t="shared" si="2"/>
        <v>25.009049584588755</v>
      </c>
      <c r="J108" s="195"/>
    </row>
    <row r="109" spans="2:12" ht="20.100000000000001" customHeight="1" x14ac:dyDescent="0.25">
      <c r="B109" s="272" t="s">
        <v>306</v>
      </c>
      <c r="C109" s="272"/>
      <c r="D109" s="326"/>
      <c r="E109" s="323"/>
      <c r="F109" s="323"/>
      <c r="G109" s="304">
        <f>IF(MIN(G93,G108)&lt;0,0,MIN(G93,G108))</f>
        <v>21.539420620284268</v>
      </c>
      <c r="H109" s="304">
        <f>IF(MIN(H93,H108)&lt;0,0,MIN(H93,H108))</f>
        <v>3.4696289643044862</v>
      </c>
      <c r="I109" s="308">
        <f t="shared" si="2"/>
        <v>25.009049584588755</v>
      </c>
      <c r="J109" s="196"/>
    </row>
    <row r="110" spans="2:12" ht="20.100000000000001" customHeight="1" x14ac:dyDescent="0.2">
      <c r="G110" s="320">
        <f>G3</f>
        <v>43708</v>
      </c>
      <c r="H110" s="320">
        <f>H3</f>
        <v>43709</v>
      </c>
      <c r="I110" s="321" t="s">
        <v>12</v>
      </c>
      <c r="J110" s="158"/>
      <c r="L110" s="11" t="s">
        <v>4</v>
      </c>
    </row>
    <row r="116" spans="8:8" ht="20.100000000000001" customHeight="1" x14ac:dyDescent="0.2">
      <c r="H116" s="11" t="s">
        <v>4</v>
      </c>
    </row>
  </sheetData>
  <mergeCells count="33">
    <mergeCell ref="A1:K1"/>
    <mergeCell ref="C51:F51"/>
    <mergeCell ref="A39:K39"/>
    <mergeCell ref="C48:F48"/>
    <mergeCell ref="C49:F49"/>
    <mergeCell ref="C41:F41"/>
    <mergeCell ref="C10:D10"/>
    <mergeCell ref="E10:G10"/>
    <mergeCell ref="C42:F42"/>
    <mergeCell ref="C46:F46"/>
    <mergeCell ref="C44:F44"/>
    <mergeCell ref="H10:I10"/>
    <mergeCell ref="H32:I32"/>
    <mergeCell ref="C43:F43"/>
    <mergeCell ref="G43:H43"/>
    <mergeCell ref="C32:D32"/>
    <mergeCell ref="C88:F88"/>
    <mergeCell ref="C80:F80"/>
    <mergeCell ref="C81:F81"/>
    <mergeCell ref="G80:H80"/>
    <mergeCell ref="G83:H83"/>
    <mergeCell ref="C85:F85"/>
    <mergeCell ref="C87:F87"/>
    <mergeCell ref="C86:F86"/>
    <mergeCell ref="G86:H86"/>
    <mergeCell ref="G84:H84"/>
    <mergeCell ref="E32:G32"/>
    <mergeCell ref="A24:K24"/>
    <mergeCell ref="C52:F52"/>
    <mergeCell ref="G52:H52"/>
    <mergeCell ref="C82:F82"/>
    <mergeCell ref="A77:K77"/>
    <mergeCell ref="C53:F53"/>
  </mergeCells>
  <phoneticPr fontId="0" type="noConversion"/>
  <printOptions horizontalCentered="1"/>
  <pageMargins left="0.5" right="0.5" top="1" bottom="1" header="0.5" footer="0.5"/>
  <pageSetup scale="80" orientation="portrait" r:id="rId1"/>
  <headerFooter alignWithMargins="0">
    <oddFooter>&amp;L&amp;"Arial,Regular"&amp;8MIKE EX MONTHLY PRODUCTION / Wprodmmyy (PWRR).xls&amp;R&amp;D</oddFooter>
  </headerFooter>
  <rowBreaks count="2" manualBreakCount="2">
    <brk id="38" max="16383" man="1"/>
    <brk id="76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F36"/>
  <sheetViews>
    <sheetView zoomScaleNormal="100" workbookViewId="0">
      <selection activeCell="H11" sqref="H11"/>
    </sheetView>
  </sheetViews>
  <sheetFormatPr defaultColWidth="9" defaultRowHeight="15" x14ac:dyDescent="0.25"/>
  <cols>
    <col min="1" max="1" width="2.625" style="148" customWidth="1"/>
    <col min="2" max="2" width="13.625" style="148" customWidth="1"/>
    <col min="3" max="3" width="9.625" style="148" customWidth="1"/>
    <col min="4" max="4" width="4.625" style="148" customWidth="1"/>
    <col min="5" max="5" width="17.625" style="148" customWidth="1"/>
    <col min="6" max="6" width="13.625" style="148" customWidth="1"/>
    <col min="7" max="7" width="15.625" style="148" customWidth="1"/>
    <col min="8" max="8" width="13.625" style="152" customWidth="1"/>
    <col min="9" max="9" width="2.625" style="152" customWidth="1"/>
    <col min="10" max="10" width="13.625" style="148" customWidth="1"/>
    <col min="11" max="11" width="9.625" style="148" customWidth="1"/>
    <col min="12" max="12" width="4.625" style="148" customWidth="1"/>
    <col min="13" max="13" width="17.625" style="148" customWidth="1"/>
    <col min="14" max="14" width="13.625" style="148" customWidth="1"/>
    <col min="15" max="15" width="15.625" style="148" customWidth="1"/>
    <col min="16" max="16" width="13.625" style="148" customWidth="1"/>
    <col min="17" max="17" width="2.625" style="148" customWidth="1"/>
    <col min="18" max="18" width="13.625" style="148" customWidth="1"/>
    <col min="19" max="19" width="9.625" style="148" customWidth="1"/>
    <col min="20" max="20" width="4.625" style="148" customWidth="1"/>
    <col min="21" max="21" width="17.625" style="148" customWidth="1"/>
    <col min="22" max="22" width="13.625" style="148" customWidth="1"/>
    <col min="23" max="23" width="15.625" style="148" customWidth="1"/>
    <col min="24" max="24" width="13.625" style="148" customWidth="1"/>
    <col min="25" max="25" width="2.625" style="148" customWidth="1"/>
    <col min="26" max="26" width="13.625" style="148" customWidth="1"/>
    <col min="27" max="27" width="9.625" style="148" customWidth="1"/>
    <col min="28" max="28" width="4.625" style="148" customWidth="1"/>
    <col min="29" max="29" width="17.625" style="148" customWidth="1"/>
    <col min="30" max="30" width="13.625" style="148" customWidth="1"/>
    <col min="31" max="31" width="15.625" style="148" customWidth="1"/>
    <col min="32" max="32" width="13.625" style="148" customWidth="1"/>
    <col min="33" max="16384" width="9" style="148"/>
  </cols>
  <sheetData>
    <row r="1" spans="1:32" ht="24" customHeight="1" x14ac:dyDescent="0.25">
      <c r="A1" s="148" t="s">
        <v>4</v>
      </c>
      <c r="B1" s="144"/>
      <c r="C1" s="144"/>
      <c r="D1" s="144"/>
      <c r="E1" s="144"/>
      <c r="F1" s="144"/>
      <c r="G1" s="144"/>
      <c r="H1" s="145"/>
      <c r="I1" s="145"/>
      <c r="J1" s="144"/>
      <c r="K1" s="144"/>
      <c r="L1" s="144"/>
      <c r="M1" s="144"/>
      <c r="N1" s="144"/>
      <c r="O1" s="144"/>
      <c r="P1" s="145"/>
      <c r="Q1" s="145"/>
      <c r="R1" s="144"/>
      <c r="S1" s="144"/>
      <c r="T1" s="144"/>
      <c r="U1" s="144"/>
      <c r="V1" s="144"/>
      <c r="W1" s="144"/>
      <c r="X1" s="145"/>
      <c r="Y1" s="145"/>
      <c r="Z1" s="144"/>
      <c r="AA1" s="144"/>
      <c r="AB1" s="144"/>
      <c r="AC1" s="144"/>
      <c r="AD1" s="144"/>
      <c r="AE1" s="144"/>
      <c r="AF1" s="145"/>
    </row>
    <row r="2" spans="1:32" ht="21" customHeight="1" x14ac:dyDescent="0.25">
      <c r="B2" s="144"/>
      <c r="C2" s="144"/>
      <c r="D2" s="144"/>
      <c r="E2" s="144"/>
      <c r="F2" s="144"/>
      <c r="G2" s="144"/>
      <c r="H2" s="145"/>
      <c r="I2" s="145"/>
      <c r="J2" s="144"/>
      <c r="K2" s="144"/>
      <c r="L2" s="144"/>
      <c r="M2" s="144"/>
      <c r="N2" s="144"/>
      <c r="O2" s="144"/>
      <c r="P2" s="145"/>
      <c r="Q2" s="145"/>
      <c r="R2" s="144"/>
      <c r="S2" s="144"/>
      <c r="T2" s="144"/>
      <c r="U2" s="144"/>
      <c r="V2" s="144"/>
      <c r="W2" s="144"/>
      <c r="X2" s="145"/>
      <c r="Y2" s="145"/>
      <c r="Z2" s="144"/>
      <c r="AA2" s="144"/>
      <c r="AB2" s="144"/>
      <c r="AC2" s="144"/>
      <c r="AD2" s="144"/>
      <c r="AE2" s="144"/>
      <c r="AF2" s="145"/>
    </row>
    <row r="3" spans="1:32" ht="23.1" customHeight="1" x14ac:dyDescent="0.25">
      <c r="B3" s="111"/>
      <c r="C3" s="146" t="s">
        <v>321</v>
      </c>
      <c r="D3" s="111"/>
      <c r="E3" s="111"/>
      <c r="F3" s="111"/>
      <c r="G3" s="1722">
        <f>DATE(YEAR('Prod Data'!C1),MONTH('Prod Data'!C1)-1,DAY('Prod Data'!C1))</f>
        <v>43678</v>
      </c>
      <c r="H3" s="1722"/>
      <c r="I3" s="151"/>
      <c r="J3" s="111"/>
      <c r="K3" s="111" t="s">
        <v>321</v>
      </c>
      <c r="L3" s="111"/>
      <c r="M3" s="111"/>
      <c r="N3" s="111"/>
      <c r="O3" s="1722">
        <f>DATE(YEAR('Prod Data'!C1),MONTH('Prod Data'!C1),DAY('Prod Data'!C1))</f>
        <v>43709</v>
      </c>
      <c r="P3" s="1722"/>
      <c r="Q3" s="151"/>
      <c r="R3" s="111"/>
      <c r="S3" s="111" t="s">
        <v>321</v>
      </c>
      <c r="T3" s="111"/>
      <c r="U3" s="111"/>
      <c r="V3" s="111"/>
      <c r="W3" s="1722">
        <f>DATE(YEAR('Prod Data'!C1),MONTH('Prod Data'!C1)-1,DAY('Prod Data'!C1))</f>
        <v>43678</v>
      </c>
      <c r="X3" s="1722"/>
      <c r="Y3" s="151"/>
      <c r="Z3" s="111"/>
      <c r="AA3" s="111" t="s">
        <v>321</v>
      </c>
      <c r="AB3" s="111"/>
      <c r="AC3" s="111"/>
      <c r="AD3" s="111"/>
      <c r="AE3" s="1722">
        <f>DATE(YEAR('Prod Data'!C1),MONTH('Prod Data'!C1),DAY('Prod Data'!C1))</f>
        <v>43709</v>
      </c>
      <c r="AF3" s="1722"/>
    </row>
    <row r="4" spans="1:32" ht="13.35" customHeight="1" x14ac:dyDescent="0.25">
      <c r="B4" s="111"/>
      <c r="C4" s="111"/>
      <c r="D4" s="111"/>
      <c r="E4" s="111"/>
      <c r="F4" s="111"/>
      <c r="G4" s="111"/>
      <c r="H4" s="149"/>
      <c r="I4" s="149"/>
      <c r="J4" s="111"/>
      <c r="K4" s="111"/>
      <c r="L4" s="111"/>
      <c r="M4" s="111"/>
      <c r="N4" s="111"/>
      <c r="O4" s="111"/>
      <c r="P4" s="149"/>
      <c r="Q4" s="149"/>
      <c r="R4" s="111"/>
      <c r="S4" s="111"/>
      <c r="T4" s="111"/>
      <c r="U4" s="111"/>
      <c r="V4" s="111"/>
      <c r="W4" s="111"/>
      <c r="X4" s="149"/>
      <c r="Y4" s="149"/>
      <c r="Z4" s="111"/>
      <c r="AA4" s="111"/>
      <c r="AB4" s="111"/>
      <c r="AC4" s="111"/>
      <c r="AD4" s="111"/>
      <c r="AE4" s="111"/>
      <c r="AF4" s="149"/>
    </row>
    <row r="5" spans="1:32" ht="15" customHeight="1" x14ac:dyDescent="0.25">
      <c r="B5" s="111"/>
      <c r="C5" s="111"/>
      <c r="D5" s="111"/>
      <c r="E5" s="111"/>
      <c r="F5" s="111"/>
      <c r="G5" s="111"/>
      <c r="H5" s="149"/>
      <c r="I5" s="149"/>
      <c r="J5" s="111"/>
      <c r="K5" s="111"/>
      <c r="L5" s="111"/>
      <c r="M5" s="111"/>
      <c r="N5" s="111"/>
      <c r="O5" s="111"/>
      <c r="P5" s="149"/>
      <c r="Q5" s="149"/>
      <c r="R5" s="111"/>
      <c r="S5" s="111"/>
      <c r="T5" s="111"/>
      <c r="U5" s="111"/>
      <c r="V5" s="111"/>
      <c r="W5" s="111"/>
      <c r="X5" s="149"/>
      <c r="Y5" s="149"/>
      <c r="Z5" s="111"/>
      <c r="AA5" s="111"/>
      <c r="AB5" s="111"/>
      <c r="AC5" s="111"/>
      <c r="AD5" s="111"/>
      <c r="AE5" s="111"/>
      <c r="AF5" s="149"/>
    </row>
    <row r="6" spans="1:32" ht="20.100000000000001" customHeight="1" x14ac:dyDescent="0.25">
      <c r="B6" s="111"/>
      <c r="C6" s="111"/>
      <c r="D6" s="111"/>
      <c r="E6" s="111"/>
      <c r="F6" s="111"/>
      <c r="G6" s="111"/>
      <c r="H6" s="149">
        <f>PWRR!G57</f>
        <v>816.03800000000001</v>
      </c>
      <c r="I6" s="149"/>
      <c r="J6" s="111"/>
      <c r="K6" s="111"/>
      <c r="L6" s="111"/>
      <c r="M6" s="111"/>
      <c r="N6" s="111"/>
      <c r="O6" s="111"/>
      <c r="P6" s="149">
        <f>PWRR!H57</f>
        <v>759.60199999999998</v>
      </c>
      <c r="Q6" s="149"/>
      <c r="R6" s="111"/>
      <c r="S6" s="111"/>
      <c r="T6" s="111"/>
      <c r="U6" s="111"/>
      <c r="V6" s="111"/>
      <c r="W6" s="111"/>
      <c r="X6" s="149">
        <f>PWRR!G91</f>
        <v>34.909999999999997</v>
      </c>
      <c r="Y6" s="149"/>
      <c r="Z6" s="111"/>
      <c r="AA6" s="111"/>
      <c r="AB6" s="111"/>
      <c r="AC6" s="111"/>
      <c r="AD6" s="111"/>
      <c r="AE6" s="111"/>
      <c r="AF6" s="149">
        <f>PWRR!H91</f>
        <v>5.6239999999999997</v>
      </c>
    </row>
    <row r="7" spans="1:32" ht="25.5" customHeight="1" x14ac:dyDescent="0.25">
      <c r="B7" s="111"/>
      <c r="C7" s="111"/>
      <c r="D7" s="111"/>
      <c r="E7" s="111"/>
      <c r="F7" s="111"/>
      <c r="G7" s="111"/>
      <c r="H7" s="149"/>
      <c r="I7" s="149"/>
      <c r="J7" s="111"/>
      <c r="K7" s="111"/>
      <c r="L7" s="111"/>
      <c r="M7" s="111"/>
      <c r="N7" s="111"/>
      <c r="O7" s="111"/>
      <c r="P7" s="149"/>
      <c r="Q7" s="149"/>
      <c r="R7" s="111"/>
      <c r="S7" s="111"/>
      <c r="T7" s="111"/>
      <c r="U7" s="111"/>
      <c r="V7" s="111"/>
      <c r="W7" s="111"/>
      <c r="X7" s="149"/>
      <c r="Y7" s="149"/>
      <c r="Z7" s="111"/>
      <c r="AA7" s="111"/>
      <c r="AB7" s="111"/>
      <c r="AC7" s="111"/>
      <c r="AD7" s="111"/>
      <c r="AE7" s="111"/>
      <c r="AF7" s="149"/>
    </row>
    <row r="8" spans="1:32" ht="18" customHeight="1" x14ac:dyDescent="0.25">
      <c r="B8" s="111"/>
      <c r="C8" s="111"/>
      <c r="D8" s="111"/>
      <c r="E8" s="111"/>
      <c r="F8" s="111"/>
      <c r="G8" s="111"/>
      <c r="H8" s="149">
        <f>PWRR!G58</f>
        <v>0</v>
      </c>
      <c r="I8" s="149"/>
      <c r="J8" s="111"/>
      <c r="K8" s="111"/>
      <c r="L8" s="111"/>
      <c r="M8" s="111"/>
      <c r="N8" s="111"/>
      <c r="O8" s="111"/>
      <c r="P8" s="149">
        <f>PWRR!H58</f>
        <v>0</v>
      </c>
      <c r="Q8" s="149"/>
      <c r="R8" s="111"/>
      <c r="S8" s="111"/>
      <c r="T8" s="111"/>
      <c r="U8" s="111"/>
      <c r="V8" s="111"/>
      <c r="W8" s="111"/>
      <c r="X8" s="149">
        <f>PWRR!G92</f>
        <v>0</v>
      </c>
      <c r="Y8" s="149"/>
      <c r="Z8" s="111"/>
      <c r="AA8" s="111"/>
      <c r="AB8" s="111"/>
      <c r="AC8" s="111"/>
      <c r="AD8" s="111"/>
      <c r="AE8" s="111"/>
      <c r="AF8" s="149">
        <f>PWRR!H92</f>
        <v>0</v>
      </c>
    </row>
    <row r="9" spans="1:32" ht="21" customHeight="1" x14ac:dyDescent="0.25">
      <c r="B9" s="111"/>
      <c r="C9" s="111"/>
      <c r="D9" s="111"/>
      <c r="E9" s="111"/>
      <c r="F9" s="111"/>
      <c r="G9" s="111"/>
      <c r="H9" s="149">
        <f>PWRR!G59</f>
        <v>816.03800000000001</v>
      </c>
      <c r="I9" s="149"/>
      <c r="J9" s="111"/>
      <c r="K9" s="111"/>
      <c r="L9" s="111"/>
      <c r="M9" s="111"/>
      <c r="N9" s="111"/>
      <c r="O9" s="111"/>
      <c r="P9" s="149">
        <f>PWRR!H59</f>
        <v>759.60199999999998</v>
      </c>
      <c r="Q9" s="149"/>
      <c r="R9" s="111"/>
      <c r="S9" s="111"/>
      <c r="T9" s="111"/>
      <c r="U9" s="111"/>
      <c r="V9" s="111"/>
      <c r="W9" s="111"/>
      <c r="X9" s="149">
        <f>PWRR!G93</f>
        <v>34.909999999999997</v>
      </c>
      <c r="Y9" s="149"/>
      <c r="Z9" s="111"/>
      <c r="AA9" s="111"/>
      <c r="AB9" s="111"/>
      <c r="AC9" s="111"/>
      <c r="AD9" s="111"/>
      <c r="AE9" s="111"/>
      <c r="AF9" s="149">
        <f>PWRR!H93</f>
        <v>5.6239999999999997</v>
      </c>
    </row>
    <row r="10" spans="1:32" ht="18" customHeight="1" x14ac:dyDescent="0.25">
      <c r="B10" s="111"/>
      <c r="C10" s="111"/>
      <c r="D10" s="111"/>
      <c r="E10" s="111"/>
      <c r="F10" s="111"/>
      <c r="G10" s="111"/>
      <c r="H10" s="149">
        <f>PWRR!G60</f>
        <v>245.7</v>
      </c>
      <c r="I10" s="149"/>
      <c r="J10" s="111"/>
      <c r="K10" s="111"/>
      <c r="L10" s="111"/>
      <c r="M10" s="111"/>
      <c r="N10" s="111"/>
      <c r="O10" s="111"/>
      <c r="P10" s="149">
        <f>PWRR!H60</f>
        <v>231.7</v>
      </c>
      <c r="Q10" s="149"/>
      <c r="R10" s="111"/>
      <c r="S10" s="111"/>
      <c r="T10" s="111"/>
      <c r="U10" s="111"/>
      <c r="V10" s="111"/>
      <c r="W10" s="111"/>
      <c r="X10" s="149">
        <f>PWRR!G94</f>
        <v>232.49700000000001</v>
      </c>
      <c r="Y10" s="149"/>
      <c r="Z10" s="111"/>
      <c r="AA10" s="111"/>
      <c r="AB10" s="111"/>
      <c r="AC10" s="111"/>
      <c r="AD10" s="111"/>
      <c r="AE10" s="111"/>
      <c r="AF10" s="149">
        <f>PWRR!H94</f>
        <v>234.82900000000001</v>
      </c>
    </row>
    <row r="11" spans="1:32" ht="21" customHeight="1" x14ac:dyDescent="0.25">
      <c r="B11" s="111"/>
      <c r="C11" s="111"/>
      <c r="D11" s="111"/>
      <c r="E11" s="111"/>
      <c r="F11" s="111"/>
      <c r="G11" s="111"/>
      <c r="H11" s="149">
        <f>PWRR!G61</f>
        <v>1061.7380000000001</v>
      </c>
      <c r="I11" s="149"/>
      <c r="J11" s="111"/>
      <c r="K11" s="111"/>
      <c r="L11" s="111"/>
      <c r="M11" s="111"/>
      <c r="N11" s="111"/>
      <c r="O11" s="111"/>
      <c r="P11" s="149">
        <f>PWRR!H61</f>
        <v>991.30199999999991</v>
      </c>
      <c r="Q11" s="149"/>
      <c r="R11" s="111"/>
      <c r="S11" s="111"/>
      <c r="T11" s="111"/>
      <c r="U11" s="111"/>
      <c r="V11" s="111"/>
      <c r="W11" s="111"/>
      <c r="X11" s="149">
        <f>PWRR!G95</f>
        <v>267.40700000000004</v>
      </c>
      <c r="Y11" s="149"/>
      <c r="Z11" s="111"/>
      <c r="AA11" s="111"/>
      <c r="AB11" s="111"/>
      <c r="AC11" s="111"/>
      <c r="AD11" s="111"/>
      <c r="AE11" s="111"/>
      <c r="AF11" s="149">
        <f>PWRR!H95</f>
        <v>240.453</v>
      </c>
    </row>
    <row r="12" spans="1:32" ht="18" customHeight="1" x14ac:dyDescent="0.25">
      <c r="B12" s="111"/>
      <c r="C12" s="111"/>
      <c r="D12" s="111"/>
      <c r="E12" s="111"/>
      <c r="F12" s="111"/>
      <c r="G12" s="111"/>
      <c r="H12" s="149">
        <f>PWRR!G63</f>
        <v>914.68200000000002</v>
      </c>
      <c r="I12" s="149"/>
      <c r="J12" s="111"/>
      <c r="K12" s="111"/>
      <c r="L12" s="111"/>
      <c r="M12" s="111"/>
      <c r="N12" s="111"/>
      <c r="O12" s="111"/>
      <c r="P12" s="149">
        <f>PWRR!H63</f>
        <v>854.00199999999995</v>
      </c>
      <c r="Q12" s="149"/>
      <c r="R12" s="111"/>
      <c r="S12" s="111"/>
      <c r="T12" s="111"/>
      <c r="U12" s="111"/>
      <c r="V12" s="111"/>
      <c r="W12" s="111"/>
      <c r="X12" s="149">
        <f>PWRR!G97</f>
        <v>242.31200000000001</v>
      </c>
      <c r="Y12" s="149"/>
      <c r="Z12" s="111"/>
      <c r="AA12" s="111"/>
      <c r="AB12" s="111"/>
      <c r="AC12" s="111"/>
      <c r="AD12" s="111"/>
      <c r="AE12" s="111"/>
      <c r="AF12" s="149">
        <f>PWRR!H97</f>
        <v>217.88800000000001</v>
      </c>
    </row>
    <row r="13" spans="1:32" ht="18" customHeight="1" x14ac:dyDescent="0.25">
      <c r="B13" s="111"/>
      <c r="C13" s="111"/>
      <c r="D13" s="111"/>
      <c r="E13" s="111"/>
      <c r="F13" s="111"/>
      <c r="G13" s="111"/>
      <c r="H13" s="149"/>
      <c r="I13" s="149"/>
      <c r="J13" s="111"/>
      <c r="K13" s="111"/>
      <c r="L13" s="111"/>
      <c r="M13" s="111"/>
      <c r="N13" s="111"/>
      <c r="O13" s="111"/>
      <c r="P13" s="149"/>
      <c r="Q13" s="149"/>
      <c r="R13" s="111"/>
      <c r="S13" s="111"/>
      <c r="T13" s="111"/>
      <c r="U13" s="111"/>
      <c r="V13" s="111"/>
      <c r="W13" s="111"/>
      <c r="X13" s="149"/>
      <c r="Y13" s="149"/>
      <c r="Z13" s="111"/>
      <c r="AA13" s="111"/>
      <c r="AB13" s="111"/>
      <c r="AC13" s="111"/>
      <c r="AD13" s="111"/>
      <c r="AE13" s="111"/>
      <c r="AF13" s="149"/>
    </row>
    <row r="14" spans="1:32" ht="19.5" customHeight="1" x14ac:dyDescent="0.25">
      <c r="B14" s="111"/>
      <c r="C14" s="111"/>
      <c r="D14" s="111"/>
      <c r="E14" s="111"/>
      <c r="F14" s="111"/>
      <c r="G14" s="111"/>
      <c r="H14" s="149">
        <f>PWRR!G64</f>
        <v>140.82791453750306</v>
      </c>
      <c r="I14" s="149"/>
      <c r="J14" s="111"/>
      <c r="K14" s="111"/>
      <c r="L14" s="111"/>
      <c r="M14" s="111"/>
      <c r="N14" s="111"/>
      <c r="O14" s="111"/>
      <c r="P14" s="149">
        <f>PWRR!H64</f>
        <v>206.2152443238376</v>
      </c>
      <c r="Q14" s="149"/>
      <c r="R14" s="111"/>
      <c r="S14" s="111"/>
      <c r="T14" s="111"/>
      <c r="U14" s="111"/>
      <c r="V14" s="111"/>
      <c r="W14" s="111"/>
      <c r="X14" s="149">
        <f>PWRR!G98</f>
        <v>148.251</v>
      </c>
      <c r="Y14" s="149"/>
      <c r="Z14" s="111"/>
      <c r="AA14" s="111"/>
      <c r="AB14" s="111"/>
      <c r="AC14" s="111"/>
      <c r="AD14" s="111"/>
      <c r="AE14" s="111"/>
      <c r="AF14" s="149">
        <f>PWRR!H98</f>
        <v>133.30799999999999</v>
      </c>
    </row>
    <row r="15" spans="1:32" ht="15.6" customHeight="1" x14ac:dyDescent="0.25">
      <c r="B15" s="111"/>
      <c r="C15" s="111"/>
      <c r="D15" s="111"/>
      <c r="E15" s="111"/>
      <c r="F15" s="111"/>
      <c r="G15" s="111"/>
      <c r="H15" s="149"/>
      <c r="I15" s="149"/>
      <c r="J15" s="111"/>
      <c r="K15" s="111"/>
      <c r="L15" s="111"/>
      <c r="M15" s="111"/>
      <c r="N15" s="111"/>
      <c r="O15" s="111"/>
      <c r="P15" s="149"/>
      <c r="Q15" s="149"/>
      <c r="R15" s="111"/>
      <c r="S15" s="111"/>
      <c r="T15" s="111"/>
      <c r="U15" s="111"/>
      <c r="V15" s="111"/>
      <c r="W15" s="111"/>
      <c r="X15" s="149"/>
      <c r="Y15" s="149"/>
      <c r="Z15" s="111"/>
      <c r="AA15" s="111"/>
      <c r="AB15" s="111"/>
      <c r="AC15" s="111"/>
      <c r="AD15" s="111"/>
      <c r="AE15" s="111"/>
      <c r="AF15" s="149"/>
    </row>
    <row r="16" spans="1:32" ht="21.95" customHeight="1" x14ac:dyDescent="0.25">
      <c r="B16" s="111"/>
      <c r="C16" s="111"/>
      <c r="D16" s="111"/>
      <c r="E16" s="111"/>
      <c r="F16" s="111"/>
      <c r="G16" s="111"/>
      <c r="H16" s="149"/>
      <c r="I16" s="149"/>
      <c r="J16" s="111"/>
      <c r="K16" s="111"/>
      <c r="L16" s="111"/>
      <c r="M16" s="111"/>
      <c r="N16" s="111"/>
      <c r="O16" s="111"/>
      <c r="P16" s="149"/>
      <c r="Q16" s="149"/>
      <c r="R16" s="111"/>
      <c r="S16" s="111"/>
      <c r="T16" s="111"/>
      <c r="U16" s="111"/>
      <c r="V16" s="111"/>
      <c r="W16" s="111"/>
      <c r="X16" s="149"/>
      <c r="Y16" s="149"/>
      <c r="Z16" s="111"/>
      <c r="AA16" s="111"/>
      <c r="AB16" s="111"/>
      <c r="AC16" s="111"/>
      <c r="AD16" s="111"/>
      <c r="AE16" s="111"/>
      <c r="AF16" s="149"/>
    </row>
    <row r="17" spans="2:32" ht="21.95" customHeight="1" x14ac:dyDescent="0.25">
      <c r="B17" s="111"/>
      <c r="C17" s="111"/>
      <c r="D17" s="111"/>
      <c r="E17" s="111"/>
      <c r="F17" s="111"/>
      <c r="G17" s="111"/>
      <c r="H17" s="149"/>
      <c r="I17" s="149"/>
      <c r="J17" s="111"/>
      <c r="K17" s="111"/>
      <c r="L17" s="111"/>
      <c r="M17" s="111"/>
      <c r="N17" s="111"/>
      <c r="O17" s="111"/>
      <c r="P17" s="149"/>
      <c r="Q17" s="149"/>
      <c r="R17" s="111"/>
      <c r="S17" s="111"/>
      <c r="T17" s="111"/>
      <c r="U17" s="111"/>
      <c r="V17" s="111"/>
      <c r="W17" s="111"/>
      <c r="X17" s="149"/>
      <c r="Y17" s="149"/>
      <c r="Z17" s="111"/>
      <c r="AA17" s="111"/>
      <c r="AB17" s="111"/>
      <c r="AC17" s="111"/>
      <c r="AD17" s="111"/>
      <c r="AE17" s="111"/>
      <c r="AF17" s="149"/>
    </row>
    <row r="18" spans="2:32" ht="16.350000000000001" customHeight="1" x14ac:dyDescent="0.25">
      <c r="B18" s="111"/>
      <c r="C18" s="111"/>
      <c r="D18" s="111"/>
      <c r="E18" s="111"/>
      <c r="F18" s="111"/>
      <c r="G18" s="111"/>
      <c r="H18" s="149"/>
      <c r="I18" s="149"/>
      <c r="J18" s="111"/>
      <c r="K18" s="111"/>
      <c r="L18" s="111"/>
      <c r="M18" s="111"/>
      <c r="N18" s="111"/>
      <c r="O18" s="111"/>
      <c r="P18" s="149"/>
      <c r="Q18" s="149"/>
      <c r="R18" s="111"/>
      <c r="S18" s="111"/>
      <c r="T18" s="111"/>
      <c r="U18" s="111"/>
      <c r="V18" s="111"/>
      <c r="W18" s="111"/>
      <c r="X18" s="149"/>
      <c r="Y18" s="149"/>
      <c r="Z18" s="111"/>
      <c r="AA18" s="111"/>
      <c r="AB18" s="111"/>
      <c r="AC18" s="111"/>
      <c r="AD18" s="111"/>
      <c r="AE18" s="111"/>
      <c r="AF18" s="149"/>
    </row>
    <row r="19" spans="2:32" ht="27" customHeight="1" x14ac:dyDescent="0.25">
      <c r="B19" s="150">
        <f xml:space="preserve">  PWRR!G66</f>
        <v>44.06100505011144</v>
      </c>
      <c r="C19" s="147">
        <f>PWRR!G67</f>
        <v>93</v>
      </c>
      <c r="D19" s="29">
        <f>PWRR!G68</f>
        <v>0.06</v>
      </c>
      <c r="E19" s="111"/>
      <c r="F19" s="111"/>
      <c r="G19" s="111"/>
      <c r="H19" s="149">
        <f>PWRR!G65</f>
        <v>38.481000000000002</v>
      </c>
      <c r="I19" s="149"/>
      <c r="J19" s="150">
        <f>PWRR!H66</f>
        <v>67.607957300669085</v>
      </c>
      <c r="K19" s="147">
        <f>PWRR!H67</f>
        <v>94</v>
      </c>
      <c r="L19" s="29">
        <f>PWRR!H68</f>
        <v>0.06</v>
      </c>
      <c r="M19" s="111"/>
      <c r="N19" s="111"/>
      <c r="O19" s="111"/>
      <c r="P19" s="149">
        <f>PWRR!H65</f>
        <v>61.968000000000004</v>
      </c>
      <c r="Q19" s="149"/>
      <c r="R19" s="150">
        <f>PWRR!G100</f>
        <v>1.3175508644150684</v>
      </c>
      <c r="S19" s="150">
        <f>PWRR!G101</f>
        <v>1</v>
      </c>
      <c r="T19" s="29">
        <f>PWRR!G102</f>
        <v>0.06</v>
      </c>
      <c r="U19" s="111"/>
      <c r="V19" s="111"/>
      <c r="W19" s="111"/>
      <c r="X19" s="149">
        <f>PWRR!G99</f>
        <v>1.258</v>
      </c>
      <c r="Y19" s="149"/>
      <c r="Z19" s="150">
        <f>PWRR!H100</f>
        <v>1.1847448196987975</v>
      </c>
      <c r="AA19" s="150">
        <f>PWRR!H101</f>
        <v>1</v>
      </c>
      <c r="AB19" s="29">
        <f>PWRR!H102</f>
        <v>0.06</v>
      </c>
      <c r="AC19" s="111"/>
      <c r="AD19" s="111"/>
      <c r="AE19" s="111"/>
      <c r="AF19" s="149">
        <f>PWRR!H99</f>
        <v>1.125</v>
      </c>
    </row>
    <row r="20" spans="2:32" ht="18" customHeight="1" x14ac:dyDescent="0.25">
      <c r="B20" s="150"/>
      <c r="C20" s="111"/>
      <c r="D20" s="111"/>
      <c r="E20" s="111"/>
      <c r="F20" s="111"/>
      <c r="G20" s="111"/>
      <c r="H20" s="149">
        <f>PWRR!G69</f>
        <v>179.30891453750306</v>
      </c>
      <c r="I20" s="149"/>
      <c r="J20" s="111"/>
      <c r="K20" s="111"/>
      <c r="L20" s="111"/>
      <c r="M20" s="111"/>
      <c r="N20" s="111"/>
      <c r="O20" s="111"/>
      <c r="P20" s="149">
        <f>PWRR!H69</f>
        <v>268.18324432383758</v>
      </c>
      <c r="Q20" s="149"/>
      <c r="R20" s="111"/>
      <c r="S20" s="111"/>
      <c r="T20" s="111"/>
      <c r="U20" s="111"/>
      <c r="V20" s="111"/>
      <c r="W20" s="111"/>
      <c r="X20" s="149">
        <f>PWRR!G103</f>
        <v>149.50900000000001</v>
      </c>
      <c r="Y20" s="149"/>
      <c r="Z20" s="111"/>
      <c r="AA20" s="111"/>
      <c r="AB20" s="111"/>
      <c r="AC20" s="111"/>
      <c r="AD20" s="111"/>
      <c r="AE20" s="111"/>
      <c r="AF20" s="149">
        <f>PWRR!H103</f>
        <v>134.43299999999999</v>
      </c>
    </row>
    <row r="21" spans="2:32" ht="18" customHeight="1" x14ac:dyDescent="0.25">
      <c r="B21" s="111"/>
      <c r="C21" s="111"/>
      <c r="D21" s="111"/>
      <c r="E21" s="111"/>
      <c r="F21" s="111"/>
      <c r="G21" s="111"/>
      <c r="H21" s="149">
        <f>PWRR!G70</f>
        <v>137.81399999999999</v>
      </c>
      <c r="I21" s="149"/>
      <c r="J21" s="111"/>
      <c r="K21" s="111"/>
      <c r="L21" s="111"/>
      <c r="M21" s="111"/>
      <c r="N21" s="111"/>
      <c r="O21" s="111"/>
      <c r="P21" s="149">
        <f>PWRR!H70</f>
        <v>205.5</v>
      </c>
      <c r="Q21" s="149"/>
      <c r="R21" s="111"/>
      <c r="S21" s="111"/>
      <c r="T21" s="111"/>
      <c r="U21" s="111"/>
      <c r="V21" s="111"/>
      <c r="W21" s="111"/>
      <c r="X21" s="149">
        <f>PWRR!G104</f>
        <v>19.518000000000001</v>
      </c>
      <c r="Y21" s="149"/>
      <c r="Z21" s="111"/>
      <c r="AA21" s="111"/>
      <c r="AB21" s="111"/>
      <c r="AC21" s="111"/>
      <c r="AD21" s="111"/>
      <c r="AE21" s="111"/>
      <c r="AF21" s="149">
        <f>PWRR!H104</f>
        <v>3.1440000000000001</v>
      </c>
    </row>
    <row r="22" spans="2:32" ht="13.5" customHeight="1" x14ac:dyDescent="0.25">
      <c r="B22" s="111"/>
      <c r="C22" s="111"/>
      <c r="D22" s="111"/>
      <c r="E22" s="111"/>
      <c r="F22" s="111"/>
      <c r="G22" s="111"/>
      <c r="H22" s="149"/>
      <c r="I22" s="149"/>
      <c r="J22" s="111"/>
      <c r="K22" s="111"/>
      <c r="L22" s="111"/>
      <c r="M22" s="111"/>
      <c r="N22" s="111"/>
      <c r="O22" s="111"/>
      <c r="P22" s="149"/>
      <c r="Q22" s="149"/>
      <c r="R22" s="111"/>
      <c r="S22" s="111"/>
      <c r="T22" s="111"/>
      <c r="U22" s="111"/>
      <c r="V22" s="111"/>
      <c r="W22" s="111"/>
      <c r="X22" s="149"/>
      <c r="Y22" s="149"/>
      <c r="Z22" s="111"/>
      <c r="AA22" s="111"/>
      <c r="AB22" s="111"/>
      <c r="AC22" s="111"/>
      <c r="AD22" s="111"/>
      <c r="AE22" s="111"/>
      <c r="AF22" s="149"/>
    </row>
    <row r="23" spans="2:32" ht="20.100000000000001" customHeight="1" x14ac:dyDescent="0.25">
      <c r="B23" s="111"/>
      <c r="C23" s="111"/>
      <c r="D23" s="111"/>
      <c r="E23" s="111"/>
      <c r="F23" s="111"/>
      <c r="G23" s="111"/>
      <c r="H23" s="149">
        <f>PWRR!G71</f>
        <v>-147.05600000000004</v>
      </c>
      <c r="I23" s="149"/>
      <c r="J23" s="111"/>
      <c r="K23" s="111"/>
      <c r="L23" s="111"/>
      <c r="M23" s="111"/>
      <c r="N23" s="111"/>
      <c r="O23" s="111"/>
      <c r="P23" s="149">
        <f>PWRR!H71</f>
        <v>-137.29999999999995</v>
      </c>
      <c r="Q23" s="149"/>
      <c r="R23" s="111"/>
      <c r="S23" s="111"/>
      <c r="T23" s="111"/>
      <c r="U23" s="111"/>
      <c r="V23" s="111"/>
      <c r="W23" s="111"/>
      <c r="X23" s="149">
        <f>PWRR!G105</f>
        <v>-25.095000000000027</v>
      </c>
      <c r="Y23" s="149"/>
      <c r="Z23" s="111"/>
      <c r="AA23" s="111"/>
      <c r="AB23" s="111"/>
      <c r="AC23" s="111"/>
      <c r="AD23" s="111"/>
      <c r="AE23" s="111"/>
      <c r="AF23" s="149">
        <f>PWRR!H105</f>
        <v>-22.564999999999998</v>
      </c>
    </row>
    <row r="24" spans="2:32" ht="20.100000000000001" customHeight="1" x14ac:dyDescent="0.25">
      <c r="B24" s="111"/>
      <c r="C24" s="111"/>
      <c r="D24" s="111"/>
      <c r="E24" s="111"/>
      <c r="F24" s="111"/>
      <c r="G24" s="111"/>
      <c r="H24" s="149">
        <f>PWRR!G72</f>
        <v>-28.827999999999999</v>
      </c>
      <c r="I24" s="149"/>
      <c r="J24" s="111"/>
      <c r="K24" s="111"/>
      <c r="L24" s="111"/>
      <c r="M24" s="111"/>
      <c r="N24" s="111"/>
      <c r="O24" s="111"/>
      <c r="P24" s="149">
        <f>PWRR!H72</f>
        <v>-43.116</v>
      </c>
      <c r="Q24" s="149"/>
      <c r="R24" s="111"/>
      <c r="S24" s="111"/>
      <c r="T24" s="111"/>
      <c r="U24" s="111"/>
      <c r="V24" s="111"/>
      <c r="W24" s="111"/>
      <c r="X24" s="149">
        <f>PWRR!G106</f>
        <v>-15.483873497804501</v>
      </c>
      <c r="Y24" s="149"/>
      <c r="Z24" s="111"/>
      <c r="AA24" s="111"/>
      <c r="AB24" s="111"/>
      <c r="AC24" s="111"/>
      <c r="AD24" s="111"/>
      <c r="AE24" s="111"/>
      <c r="AF24" s="149">
        <f>PWRR!H106</f>
        <v>-13.922201520964897</v>
      </c>
    </row>
    <row r="25" spans="2:32" ht="20.100000000000001" customHeight="1" x14ac:dyDescent="0.25">
      <c r="B25" s="111"/>
      <c r="C25" s="111"/>
      <c r="D25" s="111"/>
      <c r="E25" s="111"/>
      <c r="F25" s="111"/>
      <c r="G25" s="111"/>
      <c r="H25" s="149">
        <f>PWRR!G73</f>
        <v>-22.157</v>
      </c>
      <c r="I25" s="149"/>
      <c r="J25" s="111"/>
      <c r="K25" s="111"/>
      <c r="L25" s="111"/>
      <c r="M25" s="111"/>
      <c r="N25" s="111"/>
      <c r="O25" s="111"/>
      <c r="P25" s="149">
        <f>PWRR!H73</f>
        <v>-33.037999999999997</v>
      </c>
      <c r="Q25" s="149"/>
      <c r="R25" s="111"/>
      <c r="S25" s="111"/>
      <c r="T25" s="111"/>
      <c r="U25" s="111"/>
      <c r="V25" s="111"/>
      <c r="W25" s="111"/>
      <c r="X25" s="149">
        <f>PWRR!G107</f>
        <v>-2.0214206202842671</v>
      </c>
      <c r="Y25" s="149"/>
      <c r="Z25" s="111"/>
      <c r="AA25" s="111"/>
      <c r="AB25" s="111"/>
      <c r="AC25" s="111"/>
      <c r="AD25" s="111"/>
      <c r="AE25" s="111"/>
      <c r="AF25" s="149">
        <f>PWRR!H107</f>
        <v>-0.32562896430448601</v>
      </c>
    </row>
    <row r="26" spans="2:32" ht="18" customHeight="1" x14ac:dyDescent="0.25">
      <c r="B26" s="111"/>
      <c r="C26" s="111"/>
      <c r="D26" s="111"/>
      <c r="E26" s="111"/>
      <c r="F26" s="111"/>
      <c r="G26" s="111"/>
      <c r="H26" s="149"/>
      <c r="I26" s="149"/>
      <c r="J26" s="111"/>
      <c r="K26" s="111"/>
      <c r="L26" s="111"/>
      <c r="M26" s="111"/>
      <c r="N26" s="111"/>
      <c r="O26" s="111"/>
      <c r="P26" s="149"/>
      <c r="Q26" s="149"/>
      <c r="R26" s="111"/>
      <c r="S26" s="111"/>
      <c r="T26" s="111"/>
      <c r="U26" s="111"/>
      <c r="V26" s="111"/>
      <c r="W26" s="111"/>
      <c r="X26" s="149"/>
      <c r="Y26" s="149"/>
      <c r="Z26" s="111"/>
      <c r="AA26" s="111"/>
      <c r="AB26" s="111"/>
      <c r="AC26" s="111"/>
      <c r="AD26" s="111"/>
      <c r="AE26" s="111"/>
      <c r="AF26" s="149"/>
    </row>
    <row r="27" spans="2:32" ht="15.75" customHeight="1" x14ac:dyDescent="0.25">
      <c r="B27" s="111"/>
      <c r="C27" s="111"/>
      <c r="D27" s="111"/>
      <c r="E27" s="111"/>
      <c r="F27" s="111"/>
      <c r="G27" s="111"/>
      <c r="H27" s="149">
        <f>PWRR!G74</f>
        <v>159.971</v>
      </c>
      <c r="I27" s="149"/>
      <c r="J27" s="111"/>
      <c r="K27" s="111"/>
      <c r="L27" s="111"/>
      <c r="M27" s="111"/>
      <c r="N27" s="111"/>
      <c r="O27" s="111"/>
      <c r="P27" s="149">
        <f>PWRR!H74</f>
        <v>238.53800000000001</v>
      </c>
      <c r="Q27" s="149"/>
      <c r="R27" s="111"/>
      <c r="S27" s="111"/>
      <c r="T27" s="111"/>
      <c r="U27" s="111"/>
      <c r="V27" s="111"/>
      <c r="W27" s="111"/>
      <c r="X27" s="149">
        <f>PWRR!G108</f>
        <v>21.539420620284268</v>
      </c>
      <c r="Y27" s="149"/>
      <c r="Z27" s="111"/>
      <c r="AA27" s="111"/>
      <c r="AB27" s="111"/>
      <c r="AC27" s="111"/>
      <c r="AD27" s="111"/>
      <c r="AE27" s="111"/>
      <c r="AF27" s="149">
        <f>PWRR!H108</f>
        <v>3.4696289643044862</v>
      </c>
    </row>
    <row r="28" spans="2:32" ht="22.35" customHeight="1" x14ac:dyDescent="0.25">
      <c r="B28" s="111"/>
      <c r="C28" s="111"/>
      <c r="D28" s="111"/>
      <c r="E28" s="111"/>
      <c r="F28" s="111"/>
      <c r="G28" s="111"/>
      <c r="H28" s="149">
        <f>PWRR!G75</f>
        <v>159.971</v>
      </c>
      <c r="I28" s="149"/>
      <c r="J28" s="111"/>
      <c r="K28" s="111"/>
      <c r="L28" s="111"/>
      <c r="M28" s="111"/>
      <c r="N28" s="111"/>
      <c r="O28" s="111"/>
      <c r="P28" s="149">
        <f>PWRR!H75</f>
        <v>238.53800000000001</v>
      </c>
      <c r="Q28" s="149"/>
      <c r="R28" s="111"/>
      <c r="S28" s="111"/>
      <c r="T28" s="111"/>
      <c r="U28" s="111"/>
      <c r="V28" s="111"/>
      <c r="W28" s="111"/>
      <c r="X28" s="149">
        <f>PWRR!G109</f>
        <v>21.539420620284268</v>
      </c>
      <c r="Y28" s="149"/>
      <c r="Z28" s="111"/>
      <c r="AA28" s="111"/>
      <c r="AB28" s="111"/>
      <c r="AC28" s="111"/>
      <c r="AD28" s="111"/>
      <c r="AE28" s="111"/>
      <c r="AF28" s="149">
        <f>PWRR!H109</f>
        <v>3.4696289643044862</v>
      </c>
    </row>
    <row r="29" spans="2:32" ht="17.100000000000001" customHeight="1" x14ac:dyDescent="0.25">
      <c r="B29" s="111"/>
      <c r="C29" s="111"/>
      <c r="D29" s="111"/>
      <c r="E29" s="111"/>
      <c r="F29" s="111"/>
      <c r="G29" s="111"/>
      <c r="H29" s="149"/>
      <c r="I29" s="149"/>
      <c r="J29" s="111"/>
      <c r="K29" s="111"/>
      <c r="L29" s="111"/>
      <c r="M29" s="111"/>
      <c r="N29" s="111"/>
      <c r="O29" s="111"/>
      <c r="P29" s="149"/>
      <c r="Q29" s="149"/>
      <c r="R29" s="111"/>
      <c r="S29" s="111"/>
      <c r="T29" s="111"/>
      <c r="U29" s="111"/>
      <c r="V29" s="111"/>
      <c r="W29" s="111"/>
      <c r="X29" s="149"/>
      <c r="Y29" s="149"/>
      <c r="Z29" s="111"/>
      <c r="AA29" s="111"/>
      <c r="AB29" s="111"/>
      <c r="AC29" s="111"/>
      <c r="AD29" s="111"/>
      <c r="AE29" s="111"/>
      <c r="AF29" s="149"/>
    </row>
    <row r="30" spans="2:32" ht="26.25" customHeight="1" x14ac:dyDescent="0.25">
      <c r="B30" s="144" t="s">
        <v>323</v>
      </c>
      <c r="C30" s="149">
        <f>H28</f>
        <v>159.971</v>
      </c>
      <c r="D30" s="144"/>
      <c r="E30" s="144"/>
      <c r="F30" s="144"/>
      <c r="G30" s="144"/>
      <c r="H30" s="145"/>
      <c r="I30" s="145"/>
      <c r="J30" s="144" t="s">
        <v>323</v>
      </c>
      <c r="K30" s="149">
        <f>P28</f>
        <v>238.53800000000001</v>
      </c>
      <c r="L30" s="144"/>
      <c r="M30" s="144"/>
      <c r="N30" s="144"/>
      <c r="O30" s="144"/>
      <c r="P30" s="145"/>
      <c r="Q30" s="145"/>
      <c r="R30" s="144" t="s">
        <v>323</v>
      </c>
      <c r="S30" s="149">
        <f>X28</f>
        <v>21.539420620284268</v>
      </c>
      <c r="T30" s="144"/>
      <c r="U30" s="144"/>
      <c r="V30" s="144"/>
      <c r="W30" s="144"/>
      <c r="X30" s="145"/>
      <c r="Y30" s="145"/>
      <c r="Z30" s="144" t="s">
        <v>323</v>
      </c>
      <c r="AA30" s="149">
        <f>AF28</f>
        <v>3.4696289643044862</v>
      </c>
      <c r="AB30" s="144"/>
      <c r="AC30" s="144"/>
      <c r="AD30" s="144"/>
      <c r="AE30" s="144"/>
      <c r="AF30" s="145"/>
    </row>
    <row r="31" spans="2:32" ht="13.5" customHeight="1" x14ac:dyDescent="0.25">
      <c r="B31" s="144"/>
      <c r="C31" s="144"/>
      <c r="D31" s="144"/>
      <c r="E31" s="144"/>
      <c r="F31" s="144"/>
      <c r="G31" s="144"/>
      <c r="H31" s="145"/>
      <c r="I31" s="145"/>
      <c r="J31" s="144"/>
      <c r="K31" s="144"/>
      <c r="L31" s="144"/>
      <c r="M31" s="144"/>
      <c r="N31" s="144"/>
      <c r="O31" s="144"/>
      <c r="P31" s="145"/>
      <c r="Q31" s="145"/>
      <c r="R31" s="144"/>
      <c r="S31" s="144"/>
      <c r="T31" s="144"/>
      <c r="U31" s="144"/>
      <c r="V31" s="144"/>
      <c r="W31" s="144"/>
      <c r="X31" s="145"/>
      <c r="Y31" s="145"/>
      <c r="Z31" s="144"/>
      <c r="AA31" s="144"/>
      <c r="AB31" s="144"/>
      <c r="AC31" s="144"/>
      <c r="AD31" s="144"/>
      <c r="AE31" s="144"/>
      <c r="AF31" s="145"/>
    </row>
    <row r="32" spans="2:32" ht="18" customHeight="1" x14ac:dyDescent="0.25">
      <c r="B32" s="144"/>
      <c r="C32" s="144"/>
      <c r="D32" s="144"/>
      <c r="E32" s="144"/>
      <c r="F32" s="144"/>
      <c r="G32" s="144"/>
      <c r="H32" s="145"/>
      <c r="I32" s="145"/>
      <c r="J32" s="144"/>
      <c r="K32" s="144"/>
      <c r="L32" s="144"/>
      <c r="M32" s="144"/>
      <c r="N32" s="144"/>
      <c r="O32" s="144"/>
      <c r="P32" s="145"/>
      <c r="Q32" s="145"/>
      <c r="R32" s="144"/>
      <c r="S32" s="144"/>
      <c r="T32" s="144"/>
      <c r="U32" s="144"/>
      <c r="V32" s="144"/>
      <c r="W32" s="144"/>
      <c r="X32" s="145"/>
      <c r="Y32" s="145"/>
      <c r="Z32" s="144"/>
      <c r="AA32" s="144"/>
      <c r="AB32" s="144"/>
      <c r="AC32" s="144"/>
      <c r="AD32" s="144"/>
      <c r="AE32" s="144"/>
      <c r="AF32" s="145"/>
    </row>
    <row r="33" spans="2:32" ht="21.95" customHeight="1" x14ac:dyDescent="0.25">
      <c r="B33" s="144"/>
      <c r="C33" s="144"/>
      <c r="D33" s="144"/>
      <c r="E33" s="144"/>
      <c r="F33" s="144"/>
      <c r="G33" s="144"/>
      <c r="H33" s="145"/>
      <c r="I33" s="145"/>
      <c r="J33" s="144"/>
      <c r="K33" s="144"/>
      <c r="L33" s="144"/>
      <c r="M33" s="144"/>
      <c r="N33" s="144"/>
      <c r="O33" s="144"/>
      <c r="P33" s="145"/>
      <c r="Q33" s="145"/>
      <c r="R33" s="144"/>
      <c r="S33" s="144"/>
      <c r="T33" s="144"/>
      <c r="U33" s="144"/>
      <c r="V33" s="144"/>
      <c r="W33" s="144"/>
      <c r="X33" s="145"/>
      <c r="Y33" s="145"/>
      <c r="Z33" s="144"/>
      <c r="AA33" s="144"/>
      <c r="AB33" s="144"/>
      <c r="AC33" s="144"/>
      <c r="AD33" s="144"/>
      <c r="AE33" s="144"/>
      <c r="AF33" s="145"/>
    </row>
    <row r="34" spans="2:32" ht="25.5" customHeight="1" x14ac:dyDescent="0.25">
      <c r="B34" s="145" t="s">
        <v>49</v>
      </c>
      <c r="C34" s="144"/>
      <c r="D34" s="144"/>
      <c r="E34" s="144"/>
      <c r="F34" s="1723" t="s">
        <v>740</v>
      </c>
      <c r="G34" s="1723"/>
      <c r="H34" s="145"/>
      <c r="I34" s="145"/>
      <c r="J34" s="145" t="s">
        <v>49</v>
      </c>
      <c r="K34" s="144"/>
      <c r="L34" s="144"/>
      <c r="M34" s="144"/>
      <c r="N34" s="1723" t="s">
        <v>740</v>
      </c>
      <c r="O34" s="1723"/>
      <c r="P34" s="145"/>
      <c r="Q34" s="145"/>
      <c r="R34" s="145" t="s">
        <v>322</v>
      </c>
      <c r="S34" s="144"/>
      <c r="T34" s="144"/>
      <c r="U34" s="144"/>
      <c r="V34" s="1723" t="s">
        <v>740</v>
      </c>
      <c r="W34" s="1723"/>
      <c r="X34" s="145"/>
      <c r="Y34" s="145"/>
      <c r="Z34" s="145" t="s">
        <v>322</v>
      </c>
      <c r="AA34" s="144"/>
      <c r="AB34" s="144"/>
      <c r="AC34" s="144"/>
      <c r="AD34" s="1723" t="s">
        <v>740</v>
      </c>
      <c r="AE34" s="1723"/>
      <c r="AF34" s="145"/>
    </row>
    <row r="35" spans="2:32" ht="27" customHeight="1" x14ac:dyDescent="0.25">
      <c r="B35" s="145"/>
      <c r="C35" s="144"/>
      <c r="D35" s="144"/>
      <c r="E35" s="144"/>
      <c r="F35" s="145"/>
      <c r="G35" s="145"/>
      <c r="H35" s="145"/>
      <c r="I35" s="145"/>
      <c r="J35" s="145"/>
      <c r="K35" s="144"/>
      <c r="L35" s="144"/>
      <c r="M35" s="144"/>
      <c r="N35" s="145"/>
      <c r="O35" s="145"/>
      <c r="P35" s="145"/>
      <c r="Q35" s="145"/>
      <c r="R35" s="145"/>
      <c r="S35" s="144"/>
      <c r="T35" s="144"/>
      <c r="U35" s="144"/>
      <c r="V35" s="145"/>
      <c r="W35" s="145"/>
      <c r="X35" s="145"/>
      <c r="Y35" s="145"/>
      <c r="Z35" s="145"/>
      <c r="AA35" s="144"/>
      <c r="AB35" s="144"/>
      <c r="AC35" s="144"/>
      <c r="AD35" s="145"/>
      <c r="AE35" s="145"/>
      <c r="AF35" s="145"/>
    </row>
    <row r="36" spans="2:32" ht="27" customHeight="1" x14ac:dyDescent="0.25">
      <c r="B36" s="144"/>
      <c r="C36" s="144"/>
      <c r="D36" s="144"/>
      <c r="E36" s="144"/>
      <c r="F36" s="144"/>
      <c r="G36" s="144"/>
      <c r="H36" s="145"/>
      <c r="I36" s="145"/>
      <c r="J36" s="144"/>
      <c r="K36" s="144"/>
      <c r="L36" s="144"/>
      <c r="M36" s="144"/>
      <c r="N36" s="144"/>
      <c r="O36" s="144"/>
      <c r="P36" s="145"/>
      <c r="Q36" s="145"/>
      <c r="R36" s="144"/>
      <c r="S36" s="144"/>
      <c r="T36" s="144"/>
      <c r="U36" s="144"/>
      <c r="V36" s="144"/>
      <c r="W36" s="144"/>
      <c r="X36" s="145"/>
      <c r="Y36" s="145"/>
      <c r="Z36" s="144"/>
      <c r="AA36" s="144"/>
      <c r="AB36" s="144"/>
      <c r="AC36" s="144"/>
      <c r="AD36" s="144"/>
      <c r="AE36" s="144"/>
      <c r="AF36" s="145"/>
    </row>
  </sheetData>
  <mergeCells count="8">
    <mergeCell ref="G3:H3"/>
    <mergeCell ref="O3:P3"/>
    <mergeCell ref="W3:X3"/>
    <mergeCell ref="AE3:AF3"/>
    <mergeCell ref="F34:G34"/>
    <mergeCell ref="N34:O34"/>
    <mergeCell ref="V34:W34"/>
    <mergeCell ref="AD34:AE34"/>
  </mergeCells>
  <phoneticPr fontId="0" type="noConversion"/>
  <pageMargins left="0.6" right="0.25" top="0.5" bottom="0.5" header="0.5" footer="0.5"/>
  <pageSetup orientation="portrait" horizontalDpi="4294967292" r:id="rId1"/>
  <headerFooter alignWithMargins="0">
    <oddFooter>&amp;L&amp;"Arial,Regular"&amp;8MIKE EX MONTHLY PRODUCTION / Wprodmmyy (PRINT).xls&amp;R&amp;D</oddFooter>
  </headerFooter>
  <colBreaks count="4" manualBreakCount="4">
    <brk id="8" max="1048575" man="1"/>
    <brk id="16" max="1048575" man="1"/>
    <brk id="24" max="1048575" man="1"/>
    <brk id="3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R40"/>
  <sheetViews>
    <sheetView zoomScale="75" zoomScaleNormal="75" workbookViewId="0">
      <selection activeCell="N21" sqref="N21"/>
    </sheetView>
  </sheetViews>
  <sheetFormatPr defaultColWidth="12.75" defaultRowHeight="24" customHeight="1" x14ac:dyDescent="0.2"/>
  <cols>
    <col min="1" max="16384" width="12.75" style="190"/>
  </cols>
  <sheetData>
    <row r="2" spans="1:17" ht="24" customHeight="1" x14ac:dyDescent="0.25">
      <c r="A2" s="271"/>
      <c r="B2" s="272"/>
      <c r="C2" s="1721" t="s">
        <v>310</v>
      </c>
      <c r="D2" s="1721"/>
      <c r="E2" s="1721" t="s">
        <v>316</v>
      </c>
      <c r="F2" s="1721"/>
      <c r="G2" s="1721"/>
      <c r="H2" s="1721" t="s">
        <v>507</v>
      </c>
      <c r="I2" s="1721"/>
      <c r="J2" s="273"/>
      <c r="O2" s="190" t="s">
        <v>965</v>
      </c>
    </row>
    <row r="3" spans="1:17" ht="51" customHeight="1" x14ac:dyDescent="0.25">
      <c r="A3" s="274" t="s">
        <v>291</v>
      </c>
      <c r="B3" s="274" t="s">
        <v>292</v>
      </c>
      <c r="C3" s="275" t="s">
        <v>506</v>
      </c>
      <c r="D3" s="274" t="s">
        <v>11</v>
      </c>
      <c r="E3" s="275" t="s">
        <v>512</v>
      </c>
      <c r="F3" s="274" t="s">
        <v>523</v>
      </c>
      <c r="G3" s="274" t="s">
        <v>524</v>
      </c>
      <c r="H3" s="276" t="s">
        <v>565</v>
      </c>
      <c r="I3" s="277" t="s">
        <v>525</v>
      </c>
      <c r="J3" s="278" t="s">
        <v>526</v>
      </c>
      <c r="N3" s="190" t="s">
        <v>966</v>
      </c>
      <c r="P3" s="190" t="s">
        <v>967</v>
      </c>
    </row>
    <row r="4" spans="1:17" ht="24" customHeight="1" x14ac:dyDescent="0.25">
      <c r="A4" s="287" t="s">
        <v>293</v>
      </c>
      <c r="B4" s="370"/>
      <c r="C4" s="371"/>
      <c r="D4" s="371"/>
      <c r="E4" s="211"/>
      <c r="F4" s="211"/>
      <c r="G4" s="211"/>
      <c r="H4" s="378"/>
      <c r="I4" s="378"/>
      <c r="J4" s="291"/>
      <c r="N4" s="190" t="s">
        <v>40</v>
      </c>
      <c r="P4" s="190" t="s">
        <v>40</v>
      </c>
      <c r="Q4" s="190" t="s">
        <v>53</v>
      </c>
    </row>
    <row r="5" spans="1:17" ht="24" customHeight="1" x14ac:dyDescent="0.25">
      <c r="A5" s="287" t="s">
        <v>806</v>
      </c>
      <c r="B5" s="370"/>
      <c r="C5" s="371"/>
      <c r="D5" s="371"/>
      <c r="E5" s="211"/>
      <c r="F5" s="211"/>
      <c r="G5" s="211"/>
      <c r="H5" s="392"/>
      <c r="I5" s="392"/>
      <c r="J5" s="291"/>
      <c r="M5" s="190">
        <v>1995</v>
      </c>
      <c r="N5" s="190">
        <v>276</v>
      </c>
      <c r="P5" s="190">
        <v>362.1</v>
      </c>
    </row>
    <row r="6" spans="1:17" ht="24" customHeight="1" x14ac:dyDescent="0.25">
      <c r="A6" s="287" t="s">
        <v>294</v>
      </c>
      <c r="B6" s="370"/>
      <c r="C6" s="371"/>
      <c r="D6" s="371"/>
      <c r="E6" s="211"/>
      <c r="F6" s="211"/>
      <c r="G6" s="211"/>
      <c r="H6" s="378"/>
      <c r="I6" s="378"/>
      <c r="J6" s="291"/>
      <c r="M6" s="190">
        <v>1996</v>
      </c>
      <c r="N6" s="190">
        <v>2395.3000000000002</v>
      </c>
      <c r="P6" s="190">
        <v>2087.5</v>
      </c>
    </row>
    <row r="7" spans="1:17" ht="24" customHeight="1" x14ac:dyDescent="0.25">
      <c r="A7" s="287" t="s">
        <v>715</v>
      </c>
      <c r="B7" s="390"/>
      <c r="C7" s="371"/>
      <c r="D7" s="371"/>
      <c r="E7" s="211"/>
      <c r="F7" s="211"/>
      <c r="G7" s="211"/>
      <c r="H7" s="392"/>
      <c r="I7" s="392"/>
      <c r="J7" s="291"/>
      <c r="M7" s="190">
        <v>1997</v>
      </c>
      <c r="N7" s="190">
        <v>1727.5</v>
      </c>
      <c r="P7" s="190">
        <v>1933.4</v>
      </c>
    </row>
    <row r="8" spans="1:17" ht="24" customHeight="1" x14ac:dyDescent="0.25">
      <c r="A8" s="287" t="s">
        <v>715</v>
      </c>
      <c r="B8" s="370"/>
      <c r="C8" s="371"/>
      <c r="D8" s="371"/>
      <c r="E8" s="211"/>
      <c r="F8" s="211"/>
      <c r="G8" s="211"/>
      <c r="H8" s="392"/>
      <c r="I8" s="392"/>
      <c r="J8" s="291"/>
      <c r="M8" s="190">
        <v>1998</v>
      </c>
      <c r="N8" s="190">
        <v>628.29999999999995</v>
      </c>
      <c r="P8" s="190">
        <v>543.9</v>
      </c>
      <c r="Q8" s="190">
        <v>370</v>
      </c>
    </row>
    <row r="9" spans="1:17" ht="24" customHeight="1" x14ac:dyDescent="0.25">
      <c r="A9" s="287" t="s">
        <v>295</v>
      </c>
      <c r="B9" s="370"/>
      <c r="C9" s="371"/>
      <c r="D9" s="371"/>
      <c r="E9" s="211"/>
      <c r="F9" s="211"/>
      <c r="G9" s="211"/>
      <c r="H9" s="378"/>
      <c r="I9" s="378"/>
      <c r="J9" s="291"/>
      <c r="M9" s="190">
        <v>1999</v>
      </c>
      <c r="N9" s="190">
        <v>0</v>
      </c>
      <c r="Q9" s="190">
        <v>2000</v>
      </c>
    </row>
    <row r="10" spans="1:17" ht="24" customHeight="1" x14ac:dyDescent="0.25">
      <c r="A10" s="287" t="s">
        <v>296</v>
      </c>
      <c r="B10" s="370"/>
      <c r="C10" s="371"/>
      <c r="D10" s="371"/>
      <c r="E10" s="211"/>
      <c r="F10" s="211"/>
      <c r="G10" s="211"/>
      <c r="H10" s="378"/>
      <c r="I10" s="378"/>
      <c r="J10" s="291"/>
      <c r="M10" s="190">
        <v>2000</v>
      </c>
      <c r="N10" s="190">
        <v>1870.9</v>
      </c>
      <c r="P10" s="190">
        <v>1998.8</v>
      </c>
      <c r="Q10" s="190">
        <v>280.5</v>
      </c>
    </row>
    <row r="11" spans="1:17" ht="24" customHeight="1" x14ac:dyDescent="0.25">
      <c r="A11" s="287" t="s">
        <v>297</v>
      </c>
      <c r="B11" s="370"/>
      <c r="C11" s="371"/>
      <c r="D11" s="371"/>
      <c r="E11" s="211"/>
      <c r="F11" s="393"/>
      <c r="G11" s="393"/>
      <c r="H11" s="378"/>
      <c r="I11" s="378"/>
      <c r="J11" s="291"/>
      <c r="M11" s="190">
        <v>2001</v>
      </c>
      <c r="N11" s="190">
        <v>140.19999999999999</v>
      </c>
      <c r="P11" s="190">
        <v>125</v>
      </c>
      <c r="Q11" s="190">
        <v>2000</v>
      </c>
    </row>
    <row r="12" spans="1:17" ht="24" customHeight="1" x14ac:dyDescent="0.2">
      <c r="M12" s="190">
        <v>2002</v>
      </c>
      <c r="N12" s="190">
        <v>0</v>
      </c>
      <c r="P12" s="190">
        <v>0</v>
      </c>
      <c r="Q12" s="190">
        <v>2000</v>
      </c>
    </row>
    <row r="13" spans="1:17" ht="24" customHeight="1" x14ac:dyDescent="0.2">
      <c r="M13" s="190">
        <v>2003</v>
      </c>
      <c r="N13" s="190">
        <v>1373.9</v>
      </c>
      <c r="P13" s="190">
        <v>1487.6</v>
      </c>
      <c r="Q13" s="190">
        <v>1010.6</v>
      </c>
    </row>
    <row r="14" spans="1:17" ht="24" customHeight="1" x14ac:dyDescent="0.25">
      <c r="B14" s="270"/>
      <c r="C14" s="1708" t="s">
        <v>310</v>
      </c>
      <c r="D14" s="1710"/>
      <c r="E14" s="1708" t="s">
        <v>316</v>
      </c>
      <c r="F14" s="1709"/>
      <c r="G14" s="1710"/>
      <c r="H14" s="1721" t="s">
        <v>507</v>
      </c>
      <c r="I14" s="1721"/>
      <c r="J14" s="258"/>
      <c r="M14" s="190">
        <v>2004</v>
      </c>
      <c r="N14" s="190">
        <v>2301.6</v>
      </c>
      <c r="P14" s="190">
        <v>2171.1</v>
      </c>
    </row>
    <row r="15" spans="1:17" ht="45.6" customHeight="1" x14ac:dyDescent="0.25">
      <c r="B15" s="274" t="s">
        <v>292</v>
      </c>
      <c r="C15" s="275" t="s">
        <v>506</v>
      </c>
      <c r="D15" s="274" t="s">
        <v>11</v>
      </c>
      <c r="E15" s="275" t="s">
        <v>512</v>
      </c>
      <c r="F15" s="274" t="s">
        <v>523</v>
      </c>
      <c r="G15" s="274" t="s">
        <v>524</v>
      </c>
      <c r="H15" s="276" t="s">
        <v>565</v>
      </c>
      <c r="I15" s="277" t="s">
        <v>525</v>
      </c>
      <c r="J15" s="278" t="s">
        <v>526</v>
      </c>
      <c r="M15" s="190">
        <v>2005</v>
      </c>
      <c r="N15" s="190">
        <v>2117.8000000000002</v>
      </c>
      <c r="P15" s="190">
        <v>1956.1</v>
      </c>
    </row>
    <row r="16" spans="1:17" ht="24" customHeight="1" x14ac:dyDescent="0.25">
      <c r="B16" s="370"/>
      <c r="C16" s="371"/>
      <c r="D16" s="371"/>
      <c r="E16" s="211"/>
      <c r="F16" s="211"/>
      <c r="G16" s="211"/>
      <c r="H16" s="391"/>
      <c r="I16" s="391"/>
      <c r="J16" s="291"/>
      <c r="M16" s="190">
        <v>2006</v>
      </c>
      <c r="N16" s="190">
        <v>1966</v>
      </c>
      <c r="P16" s="190">
        <v>1787</v>
      </c>
    </row>
    <row r="17" spans="2:18" ht="24" customHeight="1" x14ac:dyDescent="0.25">
      <c r="B17" s="370"/>
      <c r="C17" s="371"/>
      <c r="D17" s="371"/>
      <c r="E17" s="211"/>
      <c r="F17" s="211"/>
      <c r="G17" s="211"/>
      <c r="H17" s="391"/>
      <c r="I17" s="391"/>
      <c r="J17" s="291"/>
      <c r="M17" s="190">
        <v>2007</v>
      </c>
      <c r="N17" s="190">
        <v>551.20000000000005</v>
      </c>
      <c r="P17" s="190">
        <v>2000</v>
      </c>
      <c r="Q17" s="190">
        <v>442.9</v>
      </c>
    </row>
    <row r="18" spans="2:18" ht="24" customHeight="1" x14ac:dyDescent="0.2">
      <c r="M18" s="190">
        <v>2008</v>
      </c>
      <c r="N18" s="190" t="s">
        <v>4</v>
      </c>
      <c r="Q18" s="190">
        <v>415.8</v>
      </c>
    </row>
    <row r="19" spans="2:18" ht="24" customHeight="1" x14ac:dyDescent="0.2">
      <c r="M19" s="190" t="s">
        <v>12</v>
      </c>
      <c r="N19" s="190">
        <v>15348.7</v>
      </c>
      <c r="P19" s="190">
        <v>16452.5</v>
      </c>
      <c r="Q19" s="190">
        <v>8519.7999999999993</v>
      </c>
      <c r="R19" s="190">
        <v>40321</v>
      </c>
    </row>
    <row r="40" ht="36" customHeight="1" x14ac:dyDescent="0.2"/>
  </sheetData>
  <mergeCells count="6">
    <mergeCell ref="C2:D2"/>
    <mergeCell ref="E2:G2"/>
    <mergeCell ref="H2:I2"/>
    <mergeCell ref="C14:D14"/>
    <mergeCell ref="E14:G14"/>
    <mergeCell ref="H14:I14"/>
  </mergeCells>
  <phoneticPr fontId="0" type="noConversion"/>
  <printOptions gridLines="1"/>
  <pageMargins left="0.75" right="0.75" top="1" bottom="1" header="0.5" footer="0.5"/>
  <pageSetup scale="8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33"/>
  <sheetViews>
    <sheetView tabSelected="1" topLeftCell="A37" zoomScale="75" zoomScaleNormal="75" workbookViewId="0">
      <selection activeCell="G91" sqref="G91"/>
    </sheetView>
  </sheetViews>
  <sheetFormatPr defaultColWidth="12.75" defaultRowHeight="16.350000000000001" customHeight="1" x14ac:dyDescent="0.2"/>
  <cols>
    <col min="1" max="1" width="16.75" style="54" customWidth="1"/>
    <col min="2" max="2" width="15.125" style="54" customWidth="1"/>
    <col min="3" max="3" width="15.625" style="54" customWidth="1"/>
    <col min="4" max="5" width="14.75" style="54" customWidth="1"/>
    <col min="6" max="6" width="14.125" style="54" customWidth="1"/>
    <col min="7" max="7" width="16.625" style="54" customWidth="1"/>
    <col min="8" max="8" width="12.875" style="54" customWidth="1"/>
    <col min="9" max="9" width="14.375" style="54" customWidth="1"/>
    <col min="10" max="11" width="18.75" style="54" customWidth="1"/>
    <col min="12" max="12" width="20" style="54" customWidth="1"/>
    <col min="13" max="13" width="17.25" style="54" customWidth="1"/>
    <col min="14" max="14" width="12.75" style="54"/>
    <col min="15" max="15" width="17.625" style="54" customWidth="1"/>
    <col min="16" max="16" width="18.875" style="54" customWidth="1"/>
    <col min="17" max="16384" width="12.75" style="54"/>
  </cols>
  <sheetData>
    <row r="1" spans="1:15" ht="24.6" customHeight="1" x14ac:dyDescent="0.4">
      <c r="A1" s="1586" t="s">
        <v>759</v>
      </c>
      <c r="B1" s="1586"/>
      <c r="C1" s="254">
        <v>43709</v>
      </c>
      <c r="D1" s="548" t="str">
        <f>L5</f>
        <v>EVEN</v>
      </c>
      <c r="E1" s="644" t="str">
        <f>IF(L5="EVEN","No Ag Cert","Perform  Procedure for Ag Use if Applicable.")</f>
        <v>No Ag Cert</v>
      </c>
      <c r="F1" s="549"/>
      <c r="G1" s="549"/>
      <c r="H1" s="549"/>
      <c r="I1" s="549"/>
      <c r="J1" s="549"/>
      <c r="K1" s="549"/>
      <c r="L1" s="155"/>
      <c r="M1" s="155"/>
    </row>
    <row r="2" spans="1:15" ht="16.350000000000001" customHeight="1" thickBot="1" x14ac:dyDescent="0.3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O2" s="153"/>
    </row>
    <row r="3" spans="1:15" ht="20.100000000000001" customHeight="1" x14ac:dyDescent="0.3">
      <c r="A3" s="341"/>
      <c r="B3" s="1587" t="s">
        <v>33</v>
      </c>
      <c r="C3" s="1587"/>
      <c r="D3" s="1587" t="s">
        <v>101</v>
      </c>
      <c r="E3" s="1587"/>
      <c r="F3" s="1587" t="s">
        <v>1</v>
      </c>
      <c r="G3" s="1588"/>
      <c r="H3" s="1589"/>
      <c r="I3" s="1588"/>
      <c r="J3" s="1178" t="s">
        <v>557</v>
      </c>
      <c r="K3" s="718" t="s">
        <v>586</v>
      </c>
      <c r="L3" s="1571" t="s">
        <v>558</v>
      </c>
      <c r="M3" s="1572"/>
    </row>
    <row r="4" spans="1:15" ht="20.100000000000001" customHeight="1" x14ac:dyDescent="0.3">
      <c r="A4" s="342"/>
      <c r="B4" s="407">
        <f>C1</f>
        <v>43709</v>
      </c>
      <c r="C4" s="407">
        <v>43678</v>
      </c>
      <c r="D4" s="407">
        <f>C1</f>
        <v>43709</v>
      </c>
      <c r="E4" s="407">
        <f>C4</f>
        <v>43678</v>
      </c>
      <c r="F4" s="257"/>
      <c r="G4" s="330">
        <f>C1</f>
        <v>43709</v>
      </c>
      <c r="H4" s="381"/>
      <c r="I4" s="405"/>
      <c r="J4" s="1179">
        <f>C1</f>
        <v>43709</v>
      </c>
      <c r="K4" s="719">
        <f>B82</f>
        <v>43678</v>
      </c>
      <c r="L4" s="1582" t="str">
        <f>IF(MOD(MONTH($C$1),2)&gt;0,"This Is an","This is an")</f>
        <v>This Is an</v>
      </c>
      <c r="M4" s="1583"/>
    </row>
    <row r="5" spans="1:15" ht="18" customHeight="1" x14ac:dyDescent="0.25">
      <c r="A5" s="541" t="s">
        <v>2</v>
      </c>
      <c r="B5" s="481">
        <f>ROUND(H40,3)</f>
        <v>759.60199999999998</v>
      </c>
      <c r="C5" s="481">
        <v>816.03800000000001</v>
      </c>
      <c r="D5" s="486">
        <f>ROUND(H58,3)</f>
        <v>5.6239999999999997</v>
      </c>
      <c r="E5" s="470">
        <v>34.909999999999997</v>
      </c>
      <c r="F5" s="545" t="s">
        <v>2</v>
      </c>
      <c r="G5" s="474">
        <f>ROUND(H67,3)</f>
        <v>190.393</v>
      </c>
      <c r="H5" s="546"/>
      <c r="I5" s="74"/>
      <c r="J5" s="1180" t="s">
        <v>948</v>
      </c>
      <c r="K5" s="720" t="s">
        <v>566</v>
      </c>
      <c r="L5" s="1573" t="str">
        <f>IF(MOD(MONTH($C$1),2)&gt;0,"EVEN","ODD")</f>
        <v>EVEN</v>
      </c>
      <c r="M5" s="1574"/>
    </row>
    <row r="6" spans="1:15" ht="18" customHeight="1" x14ac:dyDescent="0.25">
      <c r="A6" s="541" t="s">
        <v>757</v>
      </c>
      <c r="B6" s="482"/>
      <c r="C6" s="482"/>
      <c r="D6" s="487"/>
      <c r="E6" s="472"/>
      <c r="F6" s="226"/>
      <c r="G6" s="228"/>
      <c r="H6" s="547"/>
      <c r="I6" s="475"/>
      <c r="J6" s="1181" t="e">
        <f>#REF!</f>
        <v>#REF!</v>
      </c>
      <c r="K6" s="721">
        <f>ROUND(H84,3)</f>
        <v>12.273</v>
      </c>
      <c r="L6" s="1573"/>
      <c r="M6" s="1574"/>
    </row>
    <row r="7" spans="1:15" ht="18" customHeight="1" x14ac:dyDescent="0.3">
      <c r="A7" s="541" t="s">
        <v>3</v>
      </c>
      <c r="B7" s="482">
        <f>ROUND(G25,1)</f>
        <v>231.7</v>
      </c>
      <c r="C7" s="482">
        <v>245.7</v>
      </c>
      <c r="D7" s="487">
        <f>ROUND(F48,3)</f>
        <v>234.82900000000001</v>
      </c>
      <c r="E7" s="472">
        <v>232.49700000000001</v>
      </c>
      <c r="F7" s="373"/>
      <c r="G7" s="228"/>
      <c r="H7" s="543"/>
      <c r="I7" s="480"/>
      <c r="J7" s="1182"/>
      <c r="K7" s="722"/>
      <c r="L7" s="1582" t="str">
        <f>IF(MOD(MONTH($C$1),2)&gt;0,"Month.","Month.")</f>
        <v>Month.</v>
      </c>
      <c r="M7" s="1583" t="str">
        <f>IF(MOD(MONTH(F1),2)&gt;0,"Calculation Month.","Calculation Month.")</f>
        <v>Calculation Month.</v>
      </c>
      <c r="N7" s="184"/>
    </row>
    <row r="8" spans="1:15" ht="18" customHeight="1" x14ac:dyDescent="0.25">
      <c r="A8" s="541" t="s">
        <v>5</v>
      </c>
      <c r="B8" s="482"/>
      <c r="C8" s="482"/>
      <c r="D8" s="487"/>
      <c r="E8" s="472"/>
      <c r="F8" s="215"/>
      <c r="G8" s="228"/>
      <c r="H8" s="343"/>
      <c r="I8" s="406"/>
      <c r="J8" s="1183" t="s">
        <v>500</v>
      </c>
      <c r="K8" s="717"/>
      <c r="L8" s="1584"/>
      <c r="M8" s="1585"/>
    </row>
    <row r="9" spans="1:15" ht="18" customHeight="1" x14ac:dyDescent="0.25">
      <c r="A9" s="541" t="s">
        <v>569</v>
      </c>
      <c r="B9" s="483"/>
      <c r="C9" s="483"/>
      <c r="D9" s="487"/>
      <c r="E9" s="473"/>
      <c r="F9" s="215"/>
      <c r="G9" s="74"/>
      <c r="H9" s="343"/>
      <c r="I9" s="404"/>
      <c r="J9" s="1184" t="e">
        <f>#REF!</f>
        <v>#REF!</v>
      </c>
      <c r="K9" s="723" t="s">
        <v>585</v>
      </c>
      <c r="L9" s="1549" t="str">
        <f>IF(MOD(MONTH($C$1),2)&gt;0,"NO CALCULATIONS","CALCULATIONS")</f>
        <v>NO CALCULATIONS</v>
      </c>
      <c r="M9" s="1550"/>
    </row>
    <row r="10" spans="1:15" ht="18" customHeight="1" x14ac:dyDescent="0.25">
      <c r="A10" s="542" t="s">
        <v>570</v>
      </c>
      <c r="B10" s="482">
        <v>269.47300000000001</v>
      </c>
      <c r="C10" s="482">
        <v>269.47300000000001</v>
      </c>
      <c r="D10" s="487">
        <v>143.88999999999999</v>
      </c>
      <c r="E10" s="471">
        <v>143.88999999999999</v>
      </c>
      <c r="F10" s="1590" t="s">
        <v>946</v>
      </c>
      <c r="G10" s="1591"/>
      <c r="H10" s="344"/>
      <c r="I10" s="404"/>
      <c r="J10" s="1182"/>
      <c r="K10" s="724">
        <f>IF(B99="","available",B99)</f>
        <v>42887</v>
      </c>
      <c r="L10" s="1549" t="str">
        <f>IF(MOD(MONTH($C$1),2)&gt;0,"THIS MONTH","Dists. 1 &amp; 19 Ag Usage")</f>
        <v>THIS MONTH</v>
      </c>
      <c r="M10" s="1550"/>
    </row>
    <row r="11" spans="1:15" ht="18" customHeight="1" x14ac:dyDescent="0.25">
      <c r="A11" s="542" t="s">
        <v>553</v>
      </c>
      <c r="B11" s="482">
        <v>203.21600000000001</v>
      </c>
      <c r="C11" s="482">
        <v>203.21600000000001</v>
      </c>
      <c r="D11" s="487">
        <v>71.573999999999998</v>
      </c>
      <c r="E11" s="471">
        <v>71.573999999999998</v>
      </c>
      <c r="F11" s="714" t="s">
        <v>947</v>
      </c>
      <c r="G11" s="716">
        <f>L34</f>
        <v>6016.13</v>
      </c>
      <c r="H11" s="710"/>
      <c r="I11" s="74"/>
      <c r="J11" s="1183" t="s">
        <v>873</v>
      </c>
      <c r="K11" s="720" t="s">
        <v>566</v>
      </c>
      <c r="L11" s="1578"/>
      <c r="M11" s="1579"/>
    </row>
    <row r="12" spans="1:15" ht="18" customHeight="1" x14ac:dyDescent="0.25">
      <c r="A12" s="540"/>
      <c r="B12" s="484"/>
      <c r="C12" s="484"/>
      <c r="D12" s="458"/>
      <c r="E12" s="488"/>
      <c r="F12" s="715" t="s">
        <v>375</v>
      </c>
      <c r="G12" s="716">
        <f>L77</f>
        <v>12668.84</v>
      </c>
      <c r="H12" s="710"/>
      <c r="I12" s="74"/>
      <c r="J12" s="1184" t="e">
        <f>#REF!</f>
        <v>#REF!</v>
      </c>
      <c r="K12" s="725">
        <f>ROUND(H101,3)</f>
        <v>-2492.0500000000002</v>
      </c>
      <c r="L12" s="1580" t="s">
        <v>871</v>
      </c>
      <c r="M12" s="1581"/>
    </row>
    <row r="13" spans="1:15" ht="18" customHeight="1" x14ac:dyDescent="0.25">
      <c r="A13" s="823"/>
      <c r="B13" s="482"/>
      <c r="C13" s="482"/>
      <c r="D13" s="423"/>
      <c r="E13" s="225"/>
      <c r="F13" s="715" t="s">
        <v>945</v>
      </c>
      <c r="G13" s="716">
        <f>G92</f>
        <v>27687.7092001288</v>
      </c>
      <c r="H13" s="710"/>
      <c r="I13" s="74"/>
      <c r="J13" s="1185"/>
      <c r="K13" s="722"/>
      <c r="L13" s="1575" t="s">
        <v>875</v>
      </c>
      <c r="M13" s="1576"/>
    </row>
    <row r="14" spans="1:15" ht="18" customHeight="1" x14ac:dyDescent="0.25">
      <c r="A14" s="543" t="s">
        <v>571</v>
      </c>
      <c r="B14" s="482">
        <f>ROUND(H30,3)</f>
        <v>60.264000000000003</v>
      </c>
      <c r="C14" s="482">
        <v>85.858999999999995</v>
      </c>
      <c r="D14" s="424"/>
      <c r="E14" s="225"/>
      <c r="F14" s="715" t="s">
        <v>945</v>
      </c>
      <c r="G14" s="716">
        <f>G108</f>
        <v>19899.005572561502</v>
      </c>
      <c r="H14" s="710"/>
      <c r="I14" s="74"/>
      <c r="J14" s="1184"/>
      <c r="K14" s="726"/>
      <c r="L14" s="1575" t="s">
        <v>872</v>
      </c>
      <c r="M14" s="1576"/>
    </row>
    <row r="15" spans="1:15" ht="18" customHeight="1" thickBot="1" x14ac:dyDescent="0.3">
      <c r="A15" s="544"/>
      <c r="B15" s="485"/>
      <c r="C15" s="425"/>
      <c r="D15" s="426"/>
      <c r="E15" s="345"/>
      <c r="F15" s="346"/>
      <c r="G15" s="345"/>
      <c r="H15" s="711"/>
      <c r="I15" s="345"/>
      <c r="J15" s="1186"/>
      <c r="K15" s="336"/>
      <c r="L15" s="1551"/>
      <c r="M15" s="1552"/>
    </row>
    <row r="16" spans="1:15" ht="16.350000000000001" customHeight="1" x14ac:dyDescent="0.2">
      <c r="A16" s="155"/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</row>
    <row r="17" spans="1:14" ht="16.350000000000001" customHeight="1" thickBot="1" x14ac:dyDescent="0.3">
      <c r="A17" s="331"/>
      <c r="B17" s="382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</row>
    <row r="18" spans="1:14" ht="15.6" customHeight="1" x14ac:dyDescent="0.25">
      <c r="A18" s="256" t="s">
        <v>7</v>
      </c>
      <c r="B18" s="511" t="s">
        <v>543</v>
      </c>
      <c r="C18" s="512" t="s">
        <v>542</v>
      </c>
      <c r="D18" s="533"/>
      <c r="E18" s="511" t="s">
        <v>10</v>
      </c>
      <c r="F18" s="511" t="s">
        <v>8</v>
      </c>
      <c r="G18" s="511" t="s">
        <v>6</v>
      </c>
      <c r="H18" s="260"/>
      <c r="I18" s="633"/>
      <c r="J18" s="1577" t="s">
        <v>546</v>
      </c>
      <c r="K18" s="1577"/>
      <c r="L18" s="247"/>
      <c r="M18" s="333"/>
    </row>
    <row r="19" spans="1:14" ht="16.350000000000001" customHeight="1" x14ac:dyDescent="0.25">
      <c r="A19" s="653" t="s">
        <v>548</v>
      </c>
      <c r="B19" s="514" t="s">
        <v>563</v>
      </c>
      <c r="C19" s="514" t="s">
        <v>563</v>
      </c>
      <c r="D19" s="514" t="s">
        <v>552</v>
      </c>
      <c r="E19" s="514" t="s">
        <v>1016</v>
      </c>
      <c r="F19" s="514" t="s">
        <v>6</v>
      </c>
      <c r="G19" s="514" t="s">
        <v>405</v>
      </c>
      <c r="H19" s="258"/>
      <c r="I19" s="626"/>
      <c r="J19" s="1557"/>
      <c r="K19" s="1558"/>
      <c r="M19" s="332"/>
    </row>
    <row r="20" spans="1:14" ht="16.350000000000001" customHeight="1" x14ac:dyDescent="0.25">
      <c r="A20" s="529" t="s">
        <v>14</v>
      </c>
      <c r="B20" s="702">
        <v>229898</v>
      </c>
      <c r="C20" s="1333">
        <v>194024</v>
      </c>
      <c r="D20" s="182">
        <v>0</v>
      </c>
      <c r="E20" s="504">
        <f t="shared" ref="E20:E24" si="0">B20-C20+D20</f>
        <v>35874</v>
      </c>
      <c r="F20" s="494">
        <f t="shared" ref="F20:F22" si="1">ROUND((E20/435.6),3)</f>
        <v>82.355000000000004</v>
      </c>
      <c r="G20" s="495">
        <f t="shared" ref="G20:G22" si="2">E20/435.6</f>
        <v>82.355371900826441</v>
      </c>
      <c r="H20" s="539" t="s">
        <v>14</v>
      </c>
      <c r="I20" s="819"/>
      <c r="J20" s="1557" t="s">
        <v>1227</v>
      </c>
      <c r="K20" s="1558"/>
      <c r="L20" s="229"/>
      <c r="M20" s="858">
        <f>'Prod Data'!$M$86*'Tier I Avail'!L18</f>
        <v>158756.85580808081</v>
      </c>
    </row>
    <row r="21" spans="1:14" ht="16.350000000000001" customHeight="1" x14ac:dyDescent="0.25">
      <c r="A21" s="529" t="s">
        <v>1216</v>
      </c>
      <c r="B21" s="702">
        <v>1186422</v>
      </c>
      <c r="C21" s="1333">
        <v>1008727</v>
      </c>
      <c r="D21" s="182">
        <v>0</v>
      </c>
      <c r="E21" s="504">
        <f t="shared" si="0"/>
        <v>177695</v>
      </c>
      <c r="F21" s="494">
        <f>ROUND((E21/3258.51),3)</f>
        <v>54.533000000000001</v>
      </c>
      <c r="G21" s="495">
        <f>E21/3258.51</f>
        <v>54.532593117713304</v>
      </c>
      <c r="H21" s="709" t="s">
        <v>974</v>
      </c>
      <c r="I21" s="820"/>
      <c r="J21" s="1557" t="s">
        <v>1194</v>
      </c>
      <c r="K21" s="1558"/>
      <c r="L21" s="229"/>
      <c r="M21" s="489">
        <f>'Prod Data'!$M$88*'Tier I Avail'!M18</f>
        <v>0</v>
      </c>
    </row>
    <row r="22" spans="1:14" ht="16.350000000000001" customHeight="1" x14ac:dyDescent="0.25">
      <c r="A22" s="529" t="s">
        <v>15</v>
      </c>
      <c r="B22" s="702">
        <v>1365316</v>
      </c>
      <c r="C22" s="1333">
        <v>1355902</v>
      </c>
      <c r="D22" s="182">
        <v>0</v>
      </c>
      <c r="E22" s="504">
        <f t="shared" si="0"/>
        <v>9414</v>
      </c>
      <c r="F22" s="494">
        <f t="shared" si="1"/>
        <v>21.611999999999998</v>
      </c>
      <c r="G22" s="495">
        <f t="shared" si="2"/>
        <v>21.611570247933884</v>
      </c>
      <c r="H22" s="539" t="s">
        <v>15</v>
      </c>
      <c r="I22" s="639"/>
      <c r="J22" s="1557" t="s">
        <v>1258</v>
      </c>
      <c r="K22" s="1558"/>
      <c r="L22" s="229"/>
      <c r="M22" s="858">
        <f>G40*M89</f>
        <v>247630.31097337007</v>
      </c>
    </row>
    <row r="23" spans="1:14" ht="16.350000000000001" customHeight="1" x14ac:dyDescent="0.25">
      <c r="A23" s="529" t="s">
        <v>17</v>
      </c>
      <c r="B23" s="1">
        <v>911087</v>
      </c>
      <c r="C23" s="1">
        <v>911087</v>
      </c>
      <c r="D23" s="182">
        <v>0</v>
      </c>
      <c r="E23" s="504">
        <f t="shared" si="0"/>
        <v>0</v>
      </c>
      <c r="F23" s="494">
        <f>ROUND((E23/3258.51),3)</f>
        <v>0</v>
      </c>
      <c r="G23" s="495">
        <f>E23/3258.51</f>
        <v>0</v>
      </c>
      <c r="H23" s="709" t="s">
        <v>17</v>
      </c>
      <c r="I23" s="709"/>
      <c r="J23" s="1557" t="s">
        <v>1259</v>
      </c>
      <c r="K23" s="1558"/>
      <c r="L23" s="229"/>
      <c r="M23" s="858">
        <f>G40*M90</f>
        <v>52412.550482093662</v>
      </c>
      <c r="N23" s="829"/>
    </row>
    <row r="24" spans="1:14" ht="16.350000000000001" customHeight="1" x14ac:dyDescent="0.25">
      <c r="A24" s="529" t="s">
        <v>1015</v>
      </c>
      <c r="B24" s="1221">
        <v>1437224</v>
      </c>
      <c r="C24" s="1221">
        <v>1198820</v>
      </c>
      <c r="D24" s="236">
        <v>0</v>
      </c>
      <c r="E24" s="505">
        <f t="shared" si="0"/>
        <v>238404</v>
      </c>
      <c r="F24" s="497">
        <f>ROUND((E24/3258.51),3)</f>
        <v>73.164000000000001</v>
      </c>
      <c r="G24" s="498">
        <f>E24/3258.51</f>
        <v>73.163501109402759</v>
      </c>
      <c r="H24" s="539" t="s">
        <v>18</v>
      </c>
      <c r="I24" s="332"/>
      <c r="J24" s="1557" t="s">
        <v>1260</v>
      </c>
      <c r="K24" s="1558"/>
      <c r="L24" s="229"/>
      <c r="M24" s="489">
        <f>G40*M91</f>
        <v>96469.476974288336</v>
      </c>
      <c r="N24" s="163"/>
    </row>
    <row r="25" spans="1:14" ht="16.350000000000001" customHeight="1" x14ac:dyDescent="0.25">
      <c r="A25" s="540"/>
      <c r="B25" s="181"/>
      <c r="C25" s="181"/>
      <c r="D25" s="832"/>
      <c r="E25" s="845"/>
      <c r="F25" s="661">
        <f>ROUND(SUM(F20:F24),3)</f>
        <v>231.66399999999999</v>
      </c>
      <c r="G25" s="495">
        <f>SUM(G20:G24)</f>
        <v>231.6630363758764</v>
      </c>
      <c r="I25" s="640"/>
      <c r="J25" s="1557" t="s">
        <v>1261</v>
      </c>
      <c r="K25" s="1558"/>
      <c r="L25" s="229"/>
      <c r="M25" s="489">
        <f>G40*M92</f>
        <v>242313.09570707069</v>
      </c>
      <c r="N25" s="163"/>
    </row>
    <row r="26" spans="1:14" ht="16.350000000000001" customHeight="1" x14ac:dyDescent="0.25">
      <c r="A26" s="339"/>
      <c r="F26" s="189"/>
      <c r="I26" s="332"/>
      <c r="J26" s="1557" t="s">
        <v>1262</v>
      </c>
      <c r="K26" s="1558"/>
      <c r="L26" s="229"/>
      <c r="M26" s="489">
        <f>G40*M93</f>
        <v>60008.572291092743</v>
      </c>
      <c r="N26" s="163"/>
    </row>
    <row r="27" spans="1:14" ht="16.350000000000001" customHeight="1" x14ac:dyDescent="0.25">
      <c r="A27" s="338" t="s">
        <v>9</v>
      </c>
      <c r="B27" s="530" t="s">
        <v>543</v>
      </c>
      <c r="C27" s="531" t="s">
        <v>542</v>
      </c>
      <c r="D27" s="531" t="s">
        <v>549</v>
      </c>
      <c r="E27" s="530" t="s">
        <v>10</v>
      </c>
      <c r="F27" s="532" t="s">
        <v>547</v>
      </c>
      <c r="G27" s="535" t="s">
        <v>6</v>
      </c>
      <c r="H27" s="536" t="s">
        <v>545</v>
      </c>
      <c r="I27" s="641"/>
      <c r="J27" s="1557" t="s">
        <v>1263</v>
      </c>
      <c r="K27" s="1558"/>
      <c r="L27" s="229"/>
      <c r="M27" s="490">
        <f>G40*M94</f>
        <v>223323.041184573</v>
      </c>
      <c r="N27" s="163"/>
    </row>
    <row r="28" spans="1:14" ht="16.350000000000001" customHeight="1" x14ac:dyDescent="0.25">
      <c r="A28" s="653" t="s">
        <v>547</v>
      </c>
      <c r="B28" s="514" t="s">
        <v>564</v>
      </c>
      <c r="C28" s="514" t="s">
        <v>564</v>
      </c>
      <c r="D28" s="514" t="s">
        <v>130</v>
      </c>
      <c r="E28" s="514" t="s">
        <v>978</v>
      </c>
      <c r="F28" s="537" t="s">
        <v>6</v>
      </c>
      <c r="G28" s="538" t="s">
        <v>405</v>
      </c>
      <c r="H28" s="514" t="s">
        <v>544</v>
      </c>
      <c r="I28" s="332"/>
      <c r="J28" s="1557" t="s">
        <v>4</v>
      </c>
      <c r="K28" s="1558"/>
      <c r="L28" s="818" t="s">
        <v>457</v>
      </c>
      <c r="M28" s="491">
        <f>SUM(M20:M27)</f>
        <v>1080913.9034205691</v>
      </c>
      <c r="N28" s="163"/>
    </row>
    <row r="29" spans="1:14" ht="15.6" customHeight="1" x14ac:dyDescent="0.25">
      <c r="A29" s="529" t="s">
        <v>831</v>
      </c>
      <c r="B29" s="367">
        <v>2093355600</v>
      </c>
      <c r="C29" s="367">
        <v>2086736800</v>
      </c>
      <c r="D29" s="188"/>
      <c r="E29" s="504">
        <f t="shared" ref="E29:E38" si="3">B29-C29+D29</f>
        <v>6618800</v>
      </c>
      <c r="F29" s="499">
        <f>E29/43560</f>
        <v>151.9467401285583</v>
      </c>
      <c r="G29" s="500">
        <f>E29/43560</f>
        <v>151.9467401285583</v>
      </c>
      <c r="H29" s="659">
        <f>G29</f>
        <v>151.9467401285583</v>
      </c>
      <c r="I29" s="637" t="s">
        <v>13</v>
      </c>
      <c r="J29" s="1559" t="s">
        <v>807</v>
      </c>
      <c r="K29" s="1560"/>
      <c r="L29" s="818" t="s">
        <v>4</v>
      </c>
      <c r="M29" s="489"/>
      <c r="N29" s="163"/>
    </row>
    <row r="30" spans="1:14" ht="16.350000000000001" customHeight="1" x14ac:dyDescent="0.25">
      <c r="A30" s="529" t="s">
        <v>832</v>
      </c>
      <c r="B30" s="367">
        <v>1828824600</v>
      </c>
      <c r="C30" s="367">
        <v>1826199500</v>
      </c>
      <c r="D30" s="188"/>
      <c r="E30" s="504">
        <f t="shared" si="3"/>
        <v>2625100</v>
      </c>
      <c r="F30" s="499">
        <f t="shared" ref="F30:F38" si="4">E30/43560</f>
        <v>60.264003673094585</v>
      </c>
      <c r="G30" s="500">
        <f t="shared" ref="G30:G38" si="5">E30/43560</f>
        <v>60.264003673094585</v>
      </c>
      <c r="H30" s="659">
        <f t="shared" ref="H30:H39" si="6">G30</f>
        <v>60.264003673094585</v>
      </c>
      <c r="I30" s="637" t="s">
        <v>832</v>
      </c>
      <c r="J30" s="1559"/>
      <c r="K30" s="1560"/>
      <c r="L30" s="231"/>
      <c r="M30" s="489"/>
      <c r="N30" s="163"/>
    </row>
    <row r="31" spans="1:14" ht="16.350000000000001" customHeight="1" x14ac:dyDescent="0.25">
      <c r="A31" s="529" t="s">
        <v>833</v>
      </c>
      <c r="B31" s="367">
        <v>2239292300</v>
      </c>
      <c r="C31" s="367">
        <v>2235413100</v>
      </c>
      <c r="D31" s="815"/>
      <c r="E31" s="504">
        <f t="shared" si="3"/>
        <v>3879200</v>
      </c>
      <c r="F31" s="499">
        <f t="shared" si="4"/>
        <v>89.054178145087235</v>
      </c>
      <c r="G31" s="500">
        <f t="shared" si="5"/>
        <v>89.054178145087235</v>
      </c>
      <c r="H31" s="659">
        <f t="shared" si="6"/>
        <v>89.054178145087235</v>
      </c>
      <c r="I31" s="637" t="s">
        <v>833</v>
      </c>
      <c r="J31" s="1563" t="s">
        <v>820</v>
      </c>
      <c r="K31" s="1556"/>
      <c r="L31" s="824">
        <v>0</v>
      </c>
      <c r="M31" s="489">
        <f>-L30*114</f>
        <v>0</v>
      </c>
      <c r="N31" s="163"/>
    </row>
    <row r="32" spans="1:14" ht="16.350000000000001" customHeight="1" x14ac:dyDescent="0.25">
      <c r="A32" s="529" t="s">
        <v>834</v>
      </c>
      <c r="B32" s="367">
        <v>1051296400</v>
      </c>
      <c r="C32" s="367">
        <v>1049999500</v>
      </c>
      <c r="D32" s="367"/>
      <c r="E32" s="504">
        <f t="shared" si="3"/>
        <v>1296900</v>
      </c>
      <c r="F32" s="499">
        <f t="shared" si="4"/>
        <v>29.772727272727273</v>
      </c>
      <c r="G32" s="500">
        <f t="shared" si="5"/>
        <v>29.772727272727273</v>
      </c>
      <c r="H32" s="659">
        <f t="shared" si="6"/>
        <v>29.772727272727273</v>
      </c>
      <c r="I32" s="637" t="s">
        <v>834</v>
      </c>
      <c r="J32" s="1563" t="s">
        <v>821</v>
      </c>
      <c r="K32" s="1556"/>
      <c r="L32" s="824">
        <v>0</v>
      </c>
      <c r="M32" s="489" t="s">
        <v>4</v>
      </c>
      <c r="N32" s="227"/>
    </row>
    <row r="33" spans="1:17" ht="16.350000000000001" customHeight="1" x14ac:dyDescent="0.25">
      <c r="A33" s="529" t="s">
        <v>835</v>
      </c>
      <c r="B33" s="367">
        <v>282366900</v>
      </c>
      <c r="C33" s="367">
        <v>279791000</v>
      </c>
      <c r="D33" s="367">
        <v>63971</v>
      </c>
      <c r="E33" s="504">
        <f t="shared" si="3"/>
        <v>2639871</v>
      </c>
      <c r="F33" s="499">
        <f t="shared" si="4"/>
        <v>60.603099173553716</v>
      </c>
      <c r="G33" s="500">
        <f t="shared" si="5"/>
        <v>60.603099173553716</v>
      </c>
      <c r="H33" s="659">
        <f t="shared" si="6"/>
        <v>60.603099173553716</v>
      </c>
      <c r="I33" s="637" t="s">
        <v>835</v>
      </c>
      <c r="J33" s="1553" t="s">
        <v>807</v>
      </c>
      <c r="K33" s="1554"/>
      <c r="L33" s="824">
        <v>0</v>
      </c>
      <c r="M33" s="489">
        <f>-L32*98</f>
        <v>0</v>
      </c>
      <c r="N33" s="227"/>
    </row>
    <row r="34" spans="1:17" ht="16.350000000000001" customHeight="1" x14ac:dyDescent="0.25">
      <c r="A34" s="529" t="s">
        <v>836</v>
      </c>
      <c r="B34" s="367">
        <v>1243536300</v>
      </c>
      <c r="C34" s="367">
        <v>1238451700</v>
      </c>
      <c r="D34" s="367"/>
      <c r="E34" s="504">
        <f t="shared" si="3"/>
        <v>5084600</v>
      </c>
      <c r="F34" s="499">
        <f t="shared" si="4"/>
        <v>116.72635445362718</v>
      </c>
      <c r="G34" s="500">
        <f t="shared" si="5"/>
        <v>116.72635445362718</v>
      </c>
      <c r="H34" s="659">
        <f t="shared" si="6"/>
        <v>116.72635445362718</v>
      </c>
      <c r="I34" s="637" t="s">
        <v>895</v>
      </c>
      <c r="J34" s="1561" t="s">
        <v>458</v>
      </c>
      <c r="K34" s="1562"/>
      <c r="L34" s="828">
        <v>6016.13</v>
      </c>
      <c r="M34" s="489">
        <f>L34</f>
        <v>6016.13</v>
      </c>
      <c r="N34" s="227"/>
    </row>
    <row r="35" spans="1:17" ht="16.350000000000001" customHeight="1" x14ac:dyDescent="0.25">
      <c r="A35" s="529" t="s">
        <v>837</v>
      </c>
      <c r="B35" s="367">
        <v>1198428800</v>
      </c>
      <c r="C35" s="367">
        <v>1196005400</v>
      </c>
      <c r="D35" s="367"/>
      <c r="E35" s="504">
        <f t="shared" si="3"/>
        <v>2423400</v>
      </c>
      <c r="F35" s="499">
        <f t="shared" si="4"/>
        <v>55.633608815426996</v>
      </c>
      <c r="G35" s="500">
        <f t="shared" si="5"/>
        <v>55.633608815426996</v>
      </c>
      <c r="H35" s="659">
        <f t="shared" si="6"/>
        <v>55.633608815426996</v>
      </c>
      <c r="I35" s="637" t="s">
        <v>837</v>
      </c>
      <c r="J35" s="1563" t="s">
        <v>876</v>
      </c>
      <c r="K35" s="1556"/>
      <c r="L35" s="790">
        <f>M95</f>
        <v>70394</v>
      </c>
      <c r="M35" s="489">
        <f>L35</f>
        <v>70394</v>
      </c>
      <c r="N35" s="227"/>
    </row>
    <row r="36" spans="1:17" ht="16.350000000000001" customHeight="1" x14ac:dyDescent="0.25">
      <c r="A36" s="529" t="s">
        <v>838</v>
      </c>
      <c r="B36" s="367">
        <v>378269900</v>
      </c>
      <c r="C36" s="367">
        <v>378243500</v>
      </c>
      <c r="D36" s="367"/>
      <c r="E36" s="504">
        <f t="shared" si="3"/>
        <v>26400</v>
      </c>
      <c r="F36" s="499">
        <f t="shared" si="4"/>
        <v>0.60606060606060608</v>
      </c>
      <c r="G36" s="500">
        <f t="shared" si="5"/>
        <v>0.60606060606060608</v>
      </c>
      <c r="H36" s="659">
        <f t="shared" si="6"/>
        <v>0.60606060606060608</v>
      </c>
      <c r="I36" s="637" t="s">
        <v>838</v>
      </c>
      <c r="J36" s="1563" t="s">
        <v>1264</v>
      </c>
      <c r="K36" s="1556"/>
      <c r="L36" s="790">
        <f>M96</f>
        <v>44908</v>
      </c>
      <c r="M36" s="489">
        <f>M96</f>
        <v>44908</v>
      </c>
      <c r="N36" s="227"/>
      <c r="O36" s="180"/>
    </row>
    <row r="37" spans="1:17" ht="16.350000000000001" customHeight="1" x14ac:dyDescent="0.25">
      <c r="A37" s="529" t="s">
        <v>839</v>
      </c>
      <c r="B37" s="367">
        <v>1279297200</v>
      </c>
      <c r="C37" s="367">
        <v>1274328900</v>
      </c>
      <c r="D37" s="367"/>
      <c r="E37" s="504">
        <f t="shared" si="3"/>
        <v>4968300</v>
      </c>
      <c r="F37" s="499">
        <f t="shared" si="4"/>
        <v>114.0564738292011</v>
      </c>
      <c r="G37" s="500">
        <f t="shared" si="5"/>
        <v>114.0564738292011</v>
      </c>
      <c r="H37" s="659">
        <f t="shared" si="6"/>
        <v>114.0564738292011</v>
      </c>
      <c r="I37" s="637" t="s">
        <v>839</v>
      </c>
      <c r="J37" s="1553" t="s">
        <v>936</v>
      </c>
      <c r="K37" s="1554"/>
      <c r="L37" s="187"/>
      <c r="M37" s="492">
        <f>L37</f>
        <v>0</v>
      </c>
      <c r="N37" s="227"/>
    </row>
    <row r="38" spans="1:17" ht="16.350000000000001" customHeight="1" x14ac:dyDescent="0.25">
      <c r="A38" s="529" t="s">
        <v>840</v>
      </c>
      <c r="B38" s="367">
        <v>792706800</v>
      </c>
      <c r="C38" s="367">
        <v>789181100</v>
      </c>
      <c r="D38" s="188"/>
      <c r="E38" s="504">
        <f t="shared" si="3"/>
        <v>3525700</v>
      </c>
      <c r="F38" s="499">
        <f t="shared" si="4"/>
        <v>80.938934802571168</v>
      </c>
      <c r="G38" s="500">
        <f t="shared" si="5"/>
        <v>80.938934802571168</v>
      </c>
      <c r="H38" s="659">
        <f t="shared" si="6"/>
        <v>80.938934802571168</v>
      </c>
      <c r="I38" s="637" t="s">
        <v>840</v>
      </c>
      <c r="J38" s="1553" t="s">
        <v>1277</v>
      </c>
      <c r="K38" s="1554"/>
      <c r="L38" s="180" t="s">
        <v>758</v>
      </c>
      <c r="M38" s="670">
        <f>SUM(M30:M37)+M28</f>
        <v>1202232.0334205693</v>
      </c>
      <c r="N38" s="233"/>
      <c r="P38" s="53"/>
      <c r="Q38" s="848"/>
    </row>
    <row r="39" spans="1:17" ht="16.350000000000001" customHeight="1" x14ac:dyDescent="0.25">
      <c r="A39" s="529" t="s">
        <v>381</v>
      </c>
      <c r="B39" s="825"/>
      <c r="C39" s="825"/>
      <c r="D39" s="816"/>
      <c r="E39" s="505"/>
      <c r="F39" s="501">
        <f>E39/43560</f>
        <v>0</v>
      </c>
      <c r="G39" s="502">
        <f>E39/43560</f>
        <v>0</v>
      </c>
      <c r="H39" s="660">
        <f t="shared" si="6"/>
        <v>0</v>
      </c>
      <c r="I39" s="637" t="s">
        <v>552</v>
      </c>
      <c r="J39" s="153"/>
      <c r="K39" s="153"/>
      <c r="L39" s="180" t="s">
        <v>1046</v>
      </c>
      <c r="M39" s="670">
        <v>1202232.03</v>
      </c>
      <c r="P39" s="53"/>
      <c r="Q39" s="848"/>
    </row>
    <row r="40" spans="1:17" ht="16.350000000000001" customHeight="1" x14ac:dyDescent="0.25">
      <c r="A40" s="248"/>
      <c r="B40" s="188"/>
      <c r="C40" s="188"/>
      <c r="D40" s="188"/>
      <c r="E40" s="814">
        <f>SUM(E29:E39)</f>
        <v>33088271</v>
      </c>
      <c r="F40" s="506">
        <f>E40/43560</f>
        <v>759.60218089990815</v>
      </c>
      <c r="G40" s="1257">
        <f>(E40/43560)</f>
        <v>759.60218089990815</v>
      </c>
      <c r="H40" s="1258">
        <f>SUM(H29:H39)</f>
        <v>759.60218089990826</v>
      </c>
      <c r="I40" s="642"/>
      <c r="L40" s="53"/>
      <c r="M40" s="340"/>
      <c r="N40" s="227"/>
      <c r="Q40" s="848"/>
    </row>
    <row r="41" spans="1:17" ht="16.350000000000001" customHeight="1" thickBot="1" x14ac:dyDescent="0.3">
      <c r="A41" s="618"/>
      <c r="B41" s="619"/>
      <c r="C41" s="619"/>
      <c r="D41" s="619"/>
      <c r="E41" s="619"/>
      <c r="F41" s="619"/>
      <c r="G41" s="619"/>
      <c r="H41" s="620"/>
      <c r="I41" s="632"/>
      <c r="L41" s="53"/>
      <c r="M41" s="340"/>
      <c r="N41" s="227"/>
    </row>
    <row r="42" spans="1:17" ht="16.350000000000001" customHeight="1" thickBot="1" x14ac:dyDescent="0.3">
      <c r="A42" s="155"/>
      <c r="B42" s="241"/>
      <c r="C42" s="242"/>
      <c r="D42" s="242"/>
      <c r="E42" s="242"/>
      <c r="F42" s="243"/>
      <c r="G42" s="244"/>
      <c r="H42" s="155"/>
      <c r="I42" s="245"/>
      <c r="J42" s="1446"/>
      <c r="K42" s="335"/>
      <c r="L42" s="335"/>
      <c r="M42" s="336"/>
    </row>
    <row r="43" spans="1:17" ht="16.350000000000001" customHeight="1" thickBot="1" x14ac:dyDescent="0.3">
      <c r="A43" s="256" t="s">
        <v>19</v>
      </c>
      <c r="B43" s="511" t="s">
        <v>543</v>
      </c>
      <c r="C43" s="512" t="s">
        <v>542</v>
      </c>
      <c r="D43" s="533"/>
      <c r="E43" s="511" t="s">
        <v>10</v>
      </c>
      <c r="F43" s="511" t="s">
        <v>550</v>
      </c>
      <c r="G43" s="511" t="s">
        <v>6</v>
      </c>
      <c r="H43" s="260"/>
      <c r="I43" s="1564"/>
      <c r="J43" s="244"/>
      <c r="K43" s="244"/>
      <c r="L43" s="155"/>
      <c r="M43" s="155"/>
    </row>
    <row r="44" spans="1:17" ht="16.350000000000001" customHeight="1" x14ac:dyDescent="0.25">
      <c r="A44" s="653" t="s">
        <v>548</v>
      </c>
      <c r="B44" s="514" t="s">
        <v>11</v>
      </c>
      <c r="C44" s="514" t="s">
        <v>11</v>
      </c>
      <c r="D44" s="514" t="s">
        <v>552</v>
      </c>
      <c r="E44" s="514" t="s">
        <v>979</v>
      </c>
      <c r="F44" s="514" t="s">
        <v>6</v>
      </c>
      <c r="G44" s="514" t="s">
        <v>405</v>
      </c>
      <c r="H44" s="258"/>
      <c r="I44" s="1565"/>
      <c r="J44" s="1555" t="s">
        <v>546</v>
      </c>
      <c r="K44" s="1555"/>
      <c r="L44" s="247"/>
      <c r="M44" s="333"/>
    </row>
    <row r="45" spans="1:17" ht="16.350000000000001" customHeight="1" x14ac:dyDescent="0.25">
      <c r="A45" s="529" t="s">
        <v>1252</v>
      </c>
      <c r="B45" s="1">
        <v>10143012</v>
      </c>
      <c r="C45" s="1">
        <v>9704916</v>
      </c>
      <c r="D45" s="367">
        <v>0</v>
      </c>
      <c r="E45" s="504">
        <f>B45-C45+D45</f>
        <v>438096</v>
      </c>
      <c r="F45" s="494">
        <f>ROUND((E45/3258.51),3)</f>
        <v>134.447</v>
      </c>
      <c r="G45" s="500">
        <f>E45/3258.51</f>
        <v>134.44672565068083</v>
      </c>
      <c r="H45" s="74" t="s">
        <v>22</v>
      </c>
      <c r="I45" s="1565"/>
      <c r="J45" s="1568" t="s">
        <v>1227</v>
      </c>
      <c r="K45" s="1568"/>
      <c r="M45" s="489">
        <f>'Prod Data'!$M$86*'Tier I Avail'!L37</f>
        <v>1175.5050505050506</v>
      </c>
      <c r="N45" s="229"/>
      <c r="O45" s="229"/>
    </row>
    <row r="46" spans="1:17" ht="16.350000000000001" customHeight="1" x14ac:dyDescent="0.25">
      <c r="A46" s="529" t="s">
        <v>24</v>
      </c>
      <c r="B46" s="1">
        <v>1196291</v>
      </c>
      <c r="C46" s="1">
        <v>1166136</v>
      </c>
      <c r="D46" s="367">
        <v>0</v>
      </c>
      <c r="E46" s="504">
        <f>B46-C46+D46</f>
        <v>30155</v>
      </c>
      <c r="F46" s="494">
        <f>ROUND((E46/435.6),3)</f>
        <v>69.225999999999999</v>
      </c>
      <c r="G46" s="500">
        <f>E46/435.6</f>
        <v>69.226354453627181</v>
      </c>
      <c r="H46" s="74" t="s">
        <v>24</v>
      </c>
      <c r="I46" s="1565"/>
      <c r="J46" s="1568" t="s">
        <v>1194</v>
      </c>
      <c r="K46" s="1568"/>
      <c r="M46" s="858">
        <f>'Prod Data'!$M$88*'Tier I Avail'!M37</f>
        <v>0</v>
      </c>
      <c r="N46" s="229"/>
      <c r="O46" s="229"/>
    </row>
    <row r="47" spans="1:17" ht="16.350000000000001" customHeight="1" x14ac:dyDescent="0.25">
      <c r="A47" s="529" t="s">
        <v>990</v>
      </c>
      <c r="B47" s="1530">
        <v>18605112</v>
      </c>
      <c r="C47" s="3">
        <v>18503591</v>
      </c>
      <c r="D47" s="368">
        <v>0</v>
      </c>
      <c r="E47" s="505">
        <f>B47-C47+D47</f>
        <v>101521</v>
      </c>
      <c r="F47" s="497">
        <f>ROUND((E47/3258.51),3)</f>
        <v>31.155999999999999</v>
      </c>
      <c r="G47" s="502">
        <f>E47/3258.51</f>
        <v>31.155650895654759</v>
      </c>
      <c r="H47" s="74" t="s">
        <v>952</v>
      </c>
      <c r="I47" s="1565"/>
      <c r="J47" s="1568" t="s">
        <v>1258</v>
      </c>
      <c r="K47" s="1568"/>
      <c r="M47" s="858">
        <f>G58*M89</f>
        <v>1833.56290174472</v>
      </c>
      <c r="N47" s="229"/>
      <c r="O47" s="229"/>
    </row>
    <row r="48" spans="1:17" ht="16.350000000000001" customHeight="1" x14ac:dyDescent="0.25">
      <c r="A48" s="334"/>
      <c r="B48" s="189"/>
      <c r="C48" s="833"/>
      <c r="D48" s="833"/>
      <c r="E48" s="833"/>
      <c r="F48" s="735">
        <f>ROUND(SUM(F45:F47),3)</f>
        <v>234.82900000000001</v>
      </c>
      <c r="G48" s="500">
        <f>SUM(G45:G47)</f>
        <v>234.82873099996277</v>
      </c>
      <c r="H48" s="184"/>
      <c r="I48" s="1566"/>
      <c r="J48" s="1558" t="s">
        <v>1259</v>
      </c>
      <c r="K48" s="1558"/>
      <c r="M48" s="858">
        <f>G58*M90</f>
        <v>388.08539944903583</v>
      </c>
      <c r="N48" s="229"/>
      <c r="O48" s="229"/>
    </row>
    <row r="49" spans="1:17" ht="16.350000000000001" customHeight="1" x14ac:dyDescent="0.25">
      <c r="A49" s="338" t="s">
        <v>20</v>
      </c>
      <c r="B49" s="530" t="s">
        <v>543</v>
      </c>
      <c r="C49" s="531" t="s">
        <v>542</v>
      </c>
      <c r="D49" s="531" t="s">
        <v>549</v>
      </c>
      <c r="E49" s="530" t="s">
        <v>10</v>
      </c>
      <c r="F49" s="532" t="s">
        <v>547</v>
      </c>
      <c r="G49" s="530" t="s">
        <v>6</v>
      </c>
      <c r="H49" s="530" t="s">
        <v>545</v>
      </c>
      <c r="I49" s="634"/>
      <c r="J49" s="1558" t="s">
        <v>1260</v>
      </c>
      <c r="K49" s="1558"/>
      <c r="M49" s="489">
        <f>G58*M91</f>
        <v>714.30211202938483</v>
      </c>
      <c r="N49" s="229"/>
      <c r="O49" s="229"/>
    </row>
    <row r="50" spans="1:17" ht="16.350000000000001" customHeight="1" x14ac:dyDescent="0.25">
      <c r="A50" s="653" t="s">
        <v>547</v>
      </c>
      <c r="B50" s="514" t="s">
        <v>564</v>
      </c>
      <c r="C50" s="514" t="s">
        <v>564</v>
      </c>
      <c r="D50" s="514" t="s">
        <v>130</v>
      </c>
      <c r="E50" s="514" t="s">
        <v>978</v>
      </c>
      <c r="F50" s="514" t="s">
        <v>6</v>
      </c>
      <c r="G50" s="514" t="s">
        <v>551</v>
      </c>
      <c r="H50" s="514" t="s">
        <v>544</v>
      </c>
      <c r="I50" s="635"/>
      <c r="J50" s="1558" t="s">
        <v>1261</v>
      </c>
      <c r="K50" s="1558"/>
      <c r="M50" s="489">
        <f>G58*M92</f>
        <v>1794.1919191919194</v>
      </c>
      <c r="N50" s="229"/>
      <c r="O50" s="229"/>
    </row>
    <row r="51" spans="1:17" ht="16.350000000000001" customHeight="1" x14ac:dyDescent="0.25">
      <c r="A51" s="529" t="s">
        <v>21</v>
      </c>
      <c r="B51" s="813">
        <v>0</v>
      </c>
      <c r="C51" s="813">
        <v>0</v>
      </c>
      <c r="D51" s="367"/>
      <c r="E51" s="493">
        <f t="shared" ref="E51:E56" si="7">B51-C51+D51</f>
        <v>0</v>
      </c>
      <c r="F51" s="789">
        <f t="shared" ref="F51:F58" si="8">E51/43560</f>
        <v>0</v>
      </c>
      <c r="G51" s="506">
        <f t="shared" ref="G51:G57" si="9">E51/43560</f>
        <v>0</v>
      </c>
      <c r="H51" s="659">
        <f>G51</f>
        <v>0</v>
      </c>
      <c r="I51" s="636" t="s">
        <v>21</v>
      </c>
      <c r="J51" s="1558" t="s">
        <v>1262</v>
      </c>
      <c r="K51" s="1558"/>
      <c r="M51" s="489">
        <f>G58*M93</f>
        <v>444.32966023875116</v>
      </c>
      <c r="N51" s="229"/>
      <c r="O51" s="229"/>
    </row>
    <row r="52" spans="1:17" ht="16.350000000000001" customHeight="1" x14ac:dyDescent="0.25">
      <c r="A52" s="529" t="s">
        <v>23</v>
      </c>
      <c r="B52" s="813">
        <v>0</v>
      </c>
      <c r="C52" s="813">
        <v>0</v>
      </c>
      <c r="D52" s="367"/>
      <c r="E52" s="493">
        <f t="shared" si="7"/>
        <v>0</v>
      </c>
      <c r="F52" s="789">
        <f t="shared" si="8"/>
        <v>0</v>
      </c>
      <c r="G52" s="506">
        <f t="shared" si="9"/>
        <v>0</v>
      </c>
      <c r="H52" s="659">
        <f t="shared" ref="H52:H57" si="10">G52</f>
        <v>0</v>
      </c>
      <c r="I52" s="636" t="s">
        <v>23</v>
      </c>
      <c r="J52" s="1558" t="s">
        <v>1263</v>
      </c>
      <c r="K52" s="1558"/>
      <c r="M52" s="490">
        <f>G58*M94</f>
        <v>1653.581267217631</v>
      </c>
      <c r="N52" s="229"/>
      <c r="O52" s="229"/>
    </row>
    <row r="53" spans="1:17" ht="16.350000000000001" customHeight="1" x14ac:dyDescent="0.25">
      <c r="A53" s="529" t="s">
        <v>25</v>
      </c>
      <c r="B53" s="813">
        <v>887989300</v>
      </c>
      <c r="C53" s="813">
        <v>887989300</v>
      </c>
      <c r="D53" s="367"/>
      <c r="E53" s="493">
        <f t="shared" si="7"/>
        <v>0</v>
      </c>
      <c r="F53" s="789">
        <f t="shared" si="8"/>
        <v>0</v>
      </c>
      <c r="G53" s="506">
        <f t="shared" si="9"/>
        <v>0</v>
      </c>
      <c r="H53" s="659">
        <f t="shared" si="10"/>
        <v>0</v>
      </c>
      <c r="I53" s="636" t="s">
        <v>25</v>
      </c>
      <c r="J53" s="534"/>
      <c r="K53" s="534"/>
      <c r="L53" s="526" t="s">
        <v>457</v>
      </c>
      <c r="M53" s="491">
        <f>SUM(M45:M52)</f>
        <v>8003.558310376492</v>
      </c>
      <c r="N53" s="229"/>
      <c r="O53" s="229"/>
      <c r="Q53" s="190"/>
    </row>
    <row r="54" spans="1:17" ht="16.350000000000001" customHeight="1" x14ac:dyDescent="0.25">
      <c r="A54" s="529" t="s">
        <v>26</v>
      </c>
      <c r="B54" s="813">
        <v>367520400</v>
      </c>
      <c r="C54" s="813">
        <v>367520400</v>
      </c>
      <c r="D54" s="367"/>
      <c r="E54" s="493">
        <f t="shared" si="7"/>
        <v>0</v>
      </c>
      <c r="F54" s="499">
        <f t="shared" si="8"/>
        <v>0</v>
      </c>
      <c r="G54" s="506">
        <f t="shared" si="9"/>
        <v>0</v>
      </c>
      <c r="H54" s="659">
        <f t="shared" si="10"/>
        <v>0</v>
      </c>
      <c r="I54" s="636" t="s">
        <v>26</v>
      </c>
      <c r="J54" s="230"/>
      <c r="K54" s="230"/>
      <c r="L54" s="395"/>
      <c r="M54" s="489"/>
      <c r="N54" s="234"/>
    </row>
    <row r="55" spans="1:17" ht="16.350000000000001" customHeight="1" x14ac:dyDescent="0.25">
      <c r="A55" s="529" t="s">
        <v>1141</v>
      </c>
      <c r="B55" s="367">
        <v>169996800</v>
      </c>
      <c r="C55" s="367">
        <v>169751800</v>
      </c>
      <c r="D55" s="367"/>
      <c r="E55" s="493">
        <f t="shared" si="7"/>
        <v>245000</v>
      </c>
      <c r="F55" s="499">
        <f t="shared" si="8"/>
        <v>5.6244260789715339</v>
      </c>
      <c r="G55" s="506">
        <f t="shared" si="9"/>
        <v>5.6244260789715339</v>
      </c>
      <c r="H55" s="659">
        <f t="shared" si="10"/>
        <v>5.6244260789715339</v>
      </c>
      <c r="I55" s="636" t="s">
        <v>1142</v>
      </c>
      <c r="J55" s="1554" t="s">
        <v>381</v>
      </c>
      <c r="K55" s="1554"/>
      <c r="L55" s="187">
        <v>0</v>
      </c>
      <c r="M55" s="489">
        <f>-L55*98</f>
        <v>0</v>
      </c>
      <c r="N55" s="234"/>
    </row>
    <row r="56" spans="1:17" ht="16.350000000000001" customHeight="1" x14ac:dyDescent="0.25">
      <c r="A56" s="529" t="s">
        <v>761</v>
      </c>
      <c r="B56" s="367"/>
      <c r="C56" s="367"/>
      <c r="D56" s="367"/>
      <c r="E56" s="493">
        <f t="shared" si="7"/>
        <v>0</v>
      </c>
      <c r="F56" s="499">
        <f t="shared" si="8"/>
        <v>0</v>
      </c>
      <c r="G56" s="506">
        <f t="shared" si="9"/>
        <v>0</v>
      </c>
      <c r="H56" s="659">
        <f t="shared" si="10"/>
        <v>0</v>
      </c>
      <c r="I56" s="636" t="s">
        <v>760</v>
      </c>
      <c r="J56" s="1556" t="s">
        <v>820</v>
      </c>
      <c r="K56" s="1556"/>
      <c r="L56" s="187">
        <v>0</v>
      </c>
      <c r="M56" s="489">
        <f>-L56*114</f>
        <v>0</v>
      </c>
      <c r="N56" s="235"/>
    </row>
    <row r="57" spans="1:17" ht="16.350000000000001" customHeight="1" x14ac:dyDescent="0.25">
      <c r="A57" s="529" t="s">
        <v>381</v>
      </c>
      <c r="B57" s="1531"/>
      <c r="C57" s="368"/>
      <c r="D57" s="368"/>
      <c r="E57" s="496"/>
      <c r="F57" s="501">
        <f t="shared" si="8"/>
        <v>0</v>
      </c>
      <c r="G57" s="507">
        <f t="shared" si="9"/>
        <v>0</v>
      </c>
      <c r="H57" s="660">
        <f t="shared" si="10"/>
        <v>0</v>
      </c>
      <c r="I57" s="637" t="s">
        <v>552</v>
      </c>
      <c r="J57" s="1556" t="s">
        <v>821</v>
      </c>
      <c r="K57" s="1556"/>
      <c r="L57" s="187">
        <v>0</v>
      </c>
      <c r="M57" s="489">
        <f>-L57*114</f>
        <v>0</v>
      </c>
      <c r="N57" s="225"/>
    </row>
    <row r="58" spans="1:17" ht="16.350000000000001" customHeight="1" x14ac:dyDescent="0.25">
      <c r="A58" s="337"/>
      <c r="B58" s="1547"/>
      <c r="C58" s="1548"/>
      <c r="D58" s="1548"/>
      <c r="E58" s="817">
        <f>SUM(E51:E57)</f>
        <v>245000</v>
      </c>
      <c r="F58" s="734">
        <f t="shared" si="8"/>
        <v>5.6244260789715339</v>
      </c>
      <c r="G58" s="734">
        <f>E58/43560</f>
        <v>5.6244260789715339</v>
      </c>
      <c r="H58" s="861">
        <f>SUM(H51:H57)</f>
        <v>5.6244260789715339</v>
      </c>
      <c r="I58" s="637"/>
      <c r="J58" s="1554" t="s">
        <v>381</v>
      </c>
      <c r="K58" s="1554"/>
      <c r="L58" s="187">
        <v>0</v>
      </c>
      <c r="M58" s="844">
        <f>-L58*98</f>
        <v>0</v>
      </c>
      <c r="N58" s="225"/>
    </row>
    <row r="59" spans="1:17" ht="16.350000000000001" customHeight="1" x14ac:dyDescent="0.25">
      <c r="A59" s="337"/>
      <c r="B59" s="788"/>
      <c r="C59" s="182"/>
      <c r="E59" s="605"/>
      <c r="F59" s="369"/>
      <c r="G59" s="265"/>
      <c r="H59" s="860"/>
      <c r="I59" s="638"/>
      <c r="J59" s="1556" t="s">
        <v>1264</v>
      </c>
      <c r="K59" s="1556"/>
      <c r="L59" s="246">
        <v>3346</v>
      </c>
      <c r="M59" s="509">
        <f>M97</f>
        <v>3346</v>
      </c>
      <c r="N59" s="433"/>
      <c r="O59" s="153"/>
    </row>
    <row r="60" spans="1:17" ht="16.350000000000001" customHeight="1" x14ac:dyDescent="0.25">
      <c r="A60" s="597"/>
      <c r="B60" s="598"/>
      <c r="C60" s="598"/>
      <c r="D60" s="598"/>
      <c r="E60" s="599"/>
      <c r="F60" s="600"/>
      <c r="G60" s="599"/>
      <c r="H60" s="601"/>
      <c r="I60" s="628"/>
      <c r="J60" s="1569" t="s">
        <v>936</v>
      </c>
      <c r="K60" s="1569"/>
      <c r="L60" s="621"/>
      <c r="M60" s="509">
        <f>L60</f>
        <v>0</v>
      </c>
      <c r="N60" s="225"/>
    </row>
    <row r="61" spans="1:17" ht="16.350000000000001" customHeight="1" x14ac:dyDescent="0.25">
      <c r="A61" s="248"/>
      <c r="B61" s="598"/>
      <c r="C61" s="598"/>
      <c r="D61" s="598"/>
      <c r="E61" s="598"/>
      <c r="F61" s="602"/>
      <c r="G61" s="190" t="s">
        <v>4</v>
      </c>
      <c r="H61" s="601" t="s">
        <v>4</v>
      </c>
      <c r="I61" s="628"/>
      <c r="J61" s="1569" t="s">
        <v>381</v>
      </c>
      <c r="K61" s="1569"/>
      <c r="L61" s="163"/>
      <c r="M61" s="510">
        <f>L61</f>
        <v>0</v>
      </c>
      <c r="N61" s="56"/>
      <c r="O61" s="232"/>
    </row>
    <row r="62" spans="1:17" ht="16.350000000000001" customHeight="1" x14ac:dyDescent="0.25">
      <c r="A62" s="627"/>
      <c r="C62" s="603"/>
      <c r="D62" s="604"/>
      <c r="E62" s="603"/>
      <c r="F62" s="605"/>
      <c r="G62" s="603"/>
      <c r="H62" s="606"/>
      <c r="I62" s="628"/>
      <c r="J62" s="457"/>
      <c r="K62" s="457"/>
      <c r="L62" s="527" t="s">
        <v>758</v>
      </c>
      <c r="M62" s="671">
        <f>SUM(M55:M61)+M53</f>
        <v>11349.558310376491</v>
      </c>
      <c r="N62" s="56"/>
      <c r="O62" s="232"/>
    </row>
    <row r="63" spans="1:17" ht="16.350000000000001" customHeight="1" thickBot="1" x14ac:dyDescent="0.3">
      <c r="A63" s="618"/>
      <c r="B63" s="619"/>
      <c r="C63" s="619"/>
      <c r="D63" s="619"/>
      <c r="E63" s="619"/>
      <c r="F63" s="619"/>
      <c r="G63" s="619"/>
      <c r="H63" s="619"/>
      <c r="I63" s="632"/>
      <c r="J63" s="153"/>
      <c r="K63" s="153"/>
      <c r="L63" s="56" t="s">
        <v>1047</v>
      </c>
      <c r="M63" s="853">
        <v>11349.56</v>
      </c>
      <c r="N63" s="56"/>
      <c r="O63" s="232"/>
    </row>
    <row r="64" spans="1:17" ht="16.350000000000001" customHeight="1" thickBot="1" x14ac:dyDescent="0.25">
      <c r="A64" s="155"/>
      <c r="B64" s="155"/>
      <c r="C64" s="155"/>
      <c r="D64" s="155"/>
      <c r="E64" s="155"/>
      <c r="F64" s="155"/>
      <c r="G64" s="155"/>
      <c r="H64" s="155"/>
      <c r="I64" s="155"/>
      <c r="J64" s="596"/>
      <c r="K64" s="185"/>
      <c r="L64" s="335"/>
      <c r="M64" s="336"/>
    </row>
    <row r="65" spans="1:18" ht="16.350000000000001" customHeight="1" thickBot="1" x14ac:dyDescent="0.3">
      <c r="A65" s="673" t="s">
        <v>375</v>
      </c>
      <c r="B65" s="674" t="s">
        <v>543</v>
      </c>
      <c r="C65" s="675" t="s">
        <v>542</v>
      </c>
      <c r="D65" s="675" t="s">
        <v>549</v>
      </c>
      <c r="E65" s="674" t="s">
        <v>10</v>
      </c>
      <c r="F65" s="674" t="s">
        <v>547</v>
      </c>
      <c r="G65" s="674" t="s">
        <v>6</v>
      </c>
      <c r="H65" s="674" t="s">
        <v>545</v>
      </c>
      <c r="I65" s="247"/>
      <c r="J65" s="155"/>
      <c r="K65" s="155"/>
      <c r="L65" s="155"/>
      <c r="M65" s="155"/>
    </row>
    <row r="66" spans="1:18" ht="16.350000000000001" customHeight="1" x14ac:dyDescent="0.25">
      <c r="A66" s="676" t="s">
        <v>547</v>
      </c>
      <c r="B66" s="677" t="s">
        <v>564</v>
      </c>
      <c r="C66" s="677" t="s">
        <v>564</v>
      </c>
      <c r="D66" s="677" t="s">
        <v>130</v>
      </c>
      <c r="E66" s="677" t="s">
        <v>978</v>
      </c>
      <c r="F66" s="677" t="s">
        <v>6</v>
      </c>
      <c r="G66" s="677" t="s">
        <v>551</v>
      </c>
      <c r="H66" s="677" t="s">
        <v>544</v>
      </c>
      <c r="J66" s="1570" t="s">
        <v>546</v>
      </c>
      <c r="K66" s="1555"/>
      <c r="L66" s="247"/>
      <c r="M66" s="333"/>
    </row>
    <row r="67" spans="1:18" ht="16.350000000000001" customHeight="1" x14ac:dyDescent="0.25">
      <c r="A67" s="529" t="s">
        <v>896</v>
      </c>
      <c r="B67" s="813">
        <v>1447532300</v>
      </c>
      <c r="C67" s="813">
        <v>1439238800</v>
      </c>
      <c r="D67" s="367"/>
      <c r="E67" s="817">
        <f>B67-C67+D67</f>
        <v>8293500</v>
      </c>
      <c r="F67" s="503">
        <f>E67/43560</f>
        <v>190.39256198347107</v>
      </c>
      <c r="G67" s="826">
        <f>E67/43560</f>
        <v>190.39256198347107</v>
      </c>
      <c r="H67" s="665">
        <f>G67</f>
        <v>190.39256198347107</v>
      </c>
      <c r="I67" s="678" t="s">
        <v>896</v>
      </c>
      <c r="J67" s="1567" t="s">
        <v>1227</v>
      </c>
      <c r="K67" s="1568"/>
      <c r="M67" s="858">
        <f>'Prod Data'!$M$86*'Tier I Avail'!L56</f>
        <v>39792.045454545456</v>
      </c>
      <c r="N67" s="229"/>
      <c r="O67" s="238"/>
      <c r="Q67" s="153"/>
      <c r="R67" s="153"/>
    </row>
    <row r="68" spans="1:18" ht="16.350000000000001" customHeight="1" x14ac:dyDescent="0.25">
      <c r="A68" s="529" t="s">
        <v>381</v>
      </c>
      <c r="B68" s="368"/>
      <c r="C68" s="368"/>
      <c r="D68" s="368"/>
      <c r="E68" s="835">
        <f>B68-C68+D68</f>
        <v>0</v>
      </c>
      <c r="F68" s="501">
        <f t="shared" ref="F68" si="11">E68/43560</f>
        <v>0</v>
      </c>
      <c r="G68" s="838">
        <f t="shared" ref="G68" si="12">E68/43560</f>
        <v>0</v>
      </c>
      <c r="H68" s="840">
        <f t="shared" ref="H68" si="13">G68</f>
        <v>0</v>
      </c>
      <c r="I68" s="637" t="s">
        <v>552</v>
      </c>
      <c r="J68" s="1557" t="s">
        <v>1194</v>
      </c>
      <c r="K68" s="1558"/>
      <c r="M68" s="858">
        <f>'Prod Data'!$M$88*'Tier I Avail'!M56</f>
        <v>0</v>
      </c>
      <c r="N68" s="234"/>
      <c r="O68" s="621"/>
      <c r="Q68" s="153"/>
      <c r="R68" s="153"/>
    </row>
    <row r="69" spans="1:18" ht="16.350000000000001" customHeight="1" x14ac:dyDescent="0.25">
      <c r="A69" s="420"/>
      <c r="B69" s="201"/>
      <c r="C69" s="201"/>
      <c r="D69" s="201"/>
      <c r="E69" s="836">
        <f>SUM(E67+E68)</f>
        <v>8293500</v>
      </c>
      <c r="F69" s="837">
        <f>E69/43560</f>
        <v>190.39256198347107</v>
      </c>
      <c r="G69" s="839">
        <f>E69/43560</f>
        <v>190.39256198347107</v>
      </c>
      <c r="H69" s="861">
        <f>SUM(H67:H68)</f>
        <v>190.39256198347107</v>
      </c>
      <c r="I69" s="258"/>
      <c r="J69" s="1567" t="s">
        <v>1258</v>
      </c>
      <c r="K69" s="1568"/>
      <c r="L69" s="190"/>
      <c r="M69" s="489">
        <f>G69*M89</f>
        <v>62067.975206611569</v>
      </c>
      <c r="N69" s="56"/>
      <c r="O69" s="231"/>
      <c r="Q69" s="153"/>
      <c r="R69" s="153"/>
    </row>
    <row r="70" spans="1:18" ht="16.350000000000001" customHeight="1" x14ac:dyDescent="0.25">
      <c r="A70" s="608"/>
      <c r="B70" s="609"/>
      <c r="C70" s="601"/>
      <c r="D70" s="605"/>
      <c r="E70" s="605"/>
      <c r="F70" s="609"/>
      <c r="G70" s="609"/>
      <c r="H70" s="610"/>
      <c r="I70" s="610"/>
      <c r="J70" s="1567" t="s">
        <v>1259</v>
      </c>
      <c r="K70" s="1568"/>
      <c r="M70" s="489">
        <f>G69*M90</f>
        <v>13137.086776859504</v>
      </c>
      <c r="N70" s="56"/>
      <c r="O70" s="834"/>
      <c r="Q70" s="153"/>
      <c r="R70" s="153"/>
    </row>
    <row r="71" spans="1:18" ht="16.350000000000001" customHeight="1" x14ac:dyDescent="0.25">
      <c r="A71" s="611"/>
      <c r="B71" s="601"/>
      <c r="C71" s="601"/>
      <c r="D71" s="612"/>
      <c r="E71" s="612"/>
      <c r="F71" s="609"/>
      <c r="G71" s="613"/>
      <c r="H71" s="859"/>
      <c r="I71" s="605"/>
      <c r="J71" s="1567" t="s">
        <v>1260</v>
      </c>
      <c r="K71" s="1568"/>
      <c r="M71" s="489">
        <f>G69*M91</f>
        <v>24179.855371900827</v>
      </c>
      <c r="N71" s="56"/>
      <c r="O71" s="239"/>
      <c r="Q71" s="153"/>
      <c r="R71" s="153"/>
    </row>
    <row r="72" spans="1:18" ht="16.350000000000001" customHeight="1" x14ac:dyDescent="0.25">
      <c r="A72" s="611"/>
      <c r="B72" s="601"/>
      <c r="C72" s="601"/>
      <c r="D72" s="612"/>
      <c r="E72" s="612"/>
      <c r="F72" s="609"/>
      <c r="G72" s="613"/>
      <c r="H72" s="609"/>
      <c r="I72" s="654"/>
      <c r="J72" s="1567" t="s">
        <v>1261</v>
      </c>
      <c r="K72" s="1568"/>
      <c r="M72" s="489">
        <f>G69*M92</f>
        <v>60735.227272727272</v>
      </c>
      <c r="N72" s="56"/>
      <c r="O72" s="240"/>
      <c r="Q72" s="153"/>
      <c r="R72" s="153"/>
    </row>
    <row r="73" spans="1:18" ht="16.350000000000001" customHeight="1" x14ac:dyDescent="0.25">
      <c r="A73" s="608"/>
      <c r="B73" s="614"/>
      <c r="C73" s="612"/>
      <c r="D73" s="612"/>
      <c r="E73" s="612"/>
      <c r="F73" s="615"/>
      <c r="G73" s="609"/>
      <c r="H73" s="609"/>
      <c r="I73" s="654"/>
      <c r="J73" s="1557" t="s">
        <v>1262</v>
      </c>
      <c r="K73" s="1558"/>
      <c r="M73" s="489">
        <f>G69*M93</f>
        <v>15041.012396694214</v>
      </c>
      <c r="O73" s="153"/>
      <c r="Q73" s="153"/>
      <c r="R73" s="153"/>
    </row>
    <row r="74" spans="1:18" ht="16.350000000000001" customHeight="1" x14ac:dyDescent="0.25">
      <c r="A74" s="608"/>
      <c r="B74" s="609"/>
      <c r="C74" s="616"/>
      <c r="D74" s="609"/>
      <c r="E74" s="609"/>
      <c r="F74" s="615"/>
      <c r="G74" s="609"/>
      <c r="H74" s="603"/>
      <c r="I74" s="654"/>
      <c r="J74" s="1567" t="s">
        <v>1263</v>
      </c>
      <c r="K74" s="1568"/>
      <c r="M74" s="490">
        <f>G69*M94</f>
        <v>55975.413223140495</v>
      </c>
    </row>
    <row r="75" spans="1:18" ht="16.350000000000001" customHeight="1" x14ac:dyDescent="0.25">
      <c r="A75" s="597"/>
      <c r="B75" s="609"/>
      <c r="C75" s="602"/>
      <c r="D75" s="598"/>
      <c r="E75" s="598"/>
      <c r="F75" s="598"/>
      <c r="G75" s="598"/>
      <c r="H75" s="598"/>
      <c r="I75" s="599"/>
      <c r="J75" s="684"/>
      <c r="K75" s="682"/>
      <c r="L75" s="682" t="s">
        <v>457</v>
      </c>
      <c r="M75" s="489">
        <f>SUM(M67:M74)</f>
        <v>270928.61570247938</v>
      </c>
    </row>
    <row r="76" spans="1:18" ht="16.350000000000001" customHeight="1" x14ac:dyDescent="0.2">
      <c r="A76" s="597"/>
      <c r="B76" s="617"/>
      <c r="C76" s="604"/>
      <c r="D76" s="604"/>
      <c r="E76" s="598"/>
      <c r="F76" s="598"/>
      <c r="G76" s="598"/>
      <c r="H76" s="598"/>
      <c r="I76" s="605"/>
      <c r="J76" s="685"/>
      <c r="K76" s="686"/>
      <c r="M76" s="508"/>
    </row>
    <row r="77" spans="1:18" ht="16.350000000000001" customHeight="1" x14ac:dyDescent="0.25">
      <c r="A77" s="627"/>
      <c r="B77" s="604"/>
      <c r="C77" s="603"/>
      <c r="D77" s="604"/>
      <c r="E77" s="603"/>
      <c r="F77" s="605"/>
      <c r="G77" s="603"/>
      <c r="H77" s="606"/>
      <c r="I77" s="605"/>
      <c r="J77" s="1561" t="s">
        <v>458</v>
      </c>
      <c r="K77" s="1562"/>
      <c r="L77" s="828">
        <v>12668.84</v>
      </c>
      <c r="M77" s="489">
        <f>L77</f>
        <v>12668.84</v>
      </c>
    </row>
    <row r="78" spans="1:18" ht="16.350000000000001" customHeight="1" x14ac:dyDescent="0.2">
      <c r="A78" s="627"/>
      <c r="B78" s="604"/>
      <c r="C78" s="603"/>
      <c r="D78" s="604"/>
      <c r="E78" s="605"/>
      <c r="F78" s="598"/>
      <c r="G78" s="598"/>
      <c r="H78" s="606"/>
      <c r="I78" s="598"/>
      <c r="J78" s="1563" t="s">
        <v>1264</v>
      </c>
      <c r="K78" s="1556"/>
      <c r="L78" s="190">
        <v>7058</v>
      </c>
      <c r="M78" s="509">
        <f>M98</f>
        <v>7058</v>
      </c>
    </row>
    <row r="79" spans="1:18" ht="16.350000000000001" customHeight="1" x14ac:dyDescent="0.25">
      <c r="A79" s="627"/>
      <c r="B79" s="604"/>
      <c r="C79" s="607"/>
      <c r="D79" s="604"/>
      <c r="E79" s="605"/>
      <c r="F79" s="598"/>
      <c r="G79" s="598"/>
      <c r="H79" s="598"/>
      <c r="I79" s="598"/>
      <c r="J79" s="1605" t="s">
        <v>381</v>
      </c>
      <c r="K79" s="1569"/>
      <c r="L79" s="621"/>
      <c r="M79" s="492">
        <f>L79</f>
        <v>0</v>
      </c>
    </row>
    <row r="80" spans="1:18" ht="16.350000000000001" customHeight="1" thickBot="1" x14ac:dyDescent="0.3">
      <c r="A80" s="618"/>
      <c r="B80" s="629"/>
      <c r="C80" s="630"/>
      <c r="D80" s="631"/>
      <c r="E80" s="619"/>
      <c r="F80" s="619"/>
      <c r="G80" s="619"/>
      <c r="H80" s="619"/>
      <c r="I80" s="619"/>
      <c r="J80" s="655"/>
      <c r="K80" s="513"/>
      <c r="L80" s="683" t="s">
        <v>758</v>
      </c>
      <c r="M80" s="671">
        <f>SUM(M77:M79)+M75</f>
        <v>290655.4557024794</v>
      </c>
    </row>
    <row r="81" spans="1:16" ht="16.350000000000001" customHeight="1" thickBot="1" x14ac:dyDescent="0.3">
      <c r="A81" s="155"/>
      <c r="B81" s="155"/>
      <c r="C81" s="155"/>
      <c r="D81" s="155"/>
      <c r="E81" s="155"/>
      <c r="F81" s="155"/>
      <c r="G81" s="155"/>
      <c r="H81" s="155"/>
      <c r="I81" s="155"/>
      <c r="J81" s="656"/>
      <c r="K81" s="528"/>
      <c r="L81" s="862" t="s">
        <v>1047</v>
      </c>
      <c r="M81" s="863">
        <v>290655.46000000002</v>
      </c>
    </row>
    <row r="82" spans="1:16" ht="16.350000000000001" customHeight="1" thickBot="1" x14ac:dyDescent="0.3">
      <c r="A82" s="256" t="s">
        <v>464</v>
      </c>
      <c r="B82" s="822">
        <v>43678</v>
      </c>
      <c r="C82" s="511" t="s">
        <v>543</v>
      </c>
      <c r="D82" s="512" t="s">
        <v>542</v>
      </c>
      <c r="E82" s="512" t="s">
        <v>549</v>
      </c>
      <c r="F82" s="511" t="s">
        <v>10</v>
      </c>
      <c r="G82" s="511" t="s">
        <v>547</v>
      </c>
      <c r="H82" s="511" t="s">
        <v>945</v>
      </c>
      <c r="I82" s="554"/>
      <c r="J82" s="553"/>
      <c r="K82" s="553"/>
      <c r="L82" s="553"/>
      <c r="M82" s="553"/>
    </row>
    <row r="83" spans="1:16" ht="16.350000000000001" customHeight="1" x14ac:dyDescent="0.25">
      <c r="A83" s="249"/>
      <c r="B83" s="513"/>
      <c r="C83" s="514" t="s">
        <v>564</v>
      </c>
      <c r="D83" s="514" t="s">
        <v>564</v>
      </c>
      <c r="E83" s="514" t="s">
        <v>130</v>
      </c>
      <c r="F83" s="514" t="s">
        <v>977</v>
      </c>
      <c r="G83" s="514" t="s">
        <v>6</v>
      </c>
      <c r="H83" s="515" t="s">
        <v>500</v>
      </c>
      <c r="J83" s="707"/>
      <c r="K83" s="706"/>
      <c r="L83" s="706"/>
      <c r="M83" s="558"/>
    </row>
    <row r="84" spans="1:16" ht="16.350000000000001" customHeight="1" x14ac:dyDescent="0.25">
      <c r="A84" s="520"/>
      <c r="B84" s="519" t="s">
        <v>180</v>
      </c>
      <c r="C84" s="367">
        <v>1710403</v>
      </c>
      <c r="D84" s="367">
        <v>1705057</v>
      </c>
      <c r="E84" s="176"/>
      <c r="F84" s="266">
        <f>C84-D84</f>
        <v>5346</v>
      </c>
      <c r="G84" s="267">
        <f>F84/435.6</f>
        <v>12.272727272727272</v>
      </c>
      <c r="H84" s="1453">
        <f>G84</f>
        <v>12.272727272727272</v>
      </c>
      <c r="I84" s="555" t="s">
        <v>568</v>
      </c>
      <c r="J84" s="1603" t="s">
        <v>891</v>
      </c>
      <c r="K84" s="1604"/>
      <c r="L84" s="1604"/>
      <c r="M84" s="679">
        <v>2019</v>
      </c>
    </row>
    <row r="85" spans="1:16" ht="16.350000000000001" customHeight="1" x14ac:dyDescent="0.25">
      <c r="A85" s="520"/>
      <c r="B85" s="519" t="s">
        <v>190</v>
      </c>
      <c r="C85" s="849">
        <v>15095247</v>
      </c>
      <c r="D85" s="849">
        <v>15032989</v>
      </c>
      <c r="E85" s="176"/>
      <c r="F85" s="266">
        <f>C85-D85</f>
        <v>62258</v>
      </c>
      <c r="G85" s="267">
        <f>F85/435.6</f>
        <v>142.92470156106518</v>
      </c>
      <c r="H85" s="1453">
        <f>G85</f>
        <v>142.92470156106518</v>
      </c>
      <c r="I85" s="555" t="s">
        <v>950</v>
      </c>
      <c r="J85" s="559"/>
      <c r="K85" s="560"/>
      <c r="L85" s="709"/>
      <c r="M85" s="561"/>
      <c r="N85" s="74" t="s">
        <v>910</v>
      </c>
    </row>
    <row r="86" spans="1:16" ht="16.350000000000001" customHeight="1" x14ac:dyDescent="0.25">
      <c r="A86" s="251"/>
      <c r="B86" s="519" t="s">
        <v>180</v>
      </c>
      <c r="C86" s="367">
        <v>50813</v>
      </c>
      <c r="D86" s="367">
        <v>0</v>
      </c>
      <c r="E86" s="176"/>
      <c r="F86" s="266">
        <f>C86-D86</f>
        <v>50813</v>
      </c>
      <c r="G86" s="267">
        <f>F86/435.6</f>
        <v>116.6505968778696</v>
      </c>
      <c r="H86" s="1453">
        <f>G86</f>
        <v>116.6505968778696</v>
      </c>
      <c r="I86" s="556"/>
      <c r="J86" s="1597" t="s">
        <v>878</v>
      </c>
      <c r="K86" s="1598"/>
      <c r="L86" s="1598"/>
      <c r="M86" s="564">
        <v>209</v>
      </c>
      <c r="N86" s="669">
        <v>43466</v>
      </c>
    </row>
    <row r="87" spans="1:16" ht="16.350000000000001" customHeight="1" x14ac:dyDescent="0.25">
      <c r="A87" s="1724"/>
      <c r="B87" s="519"/>
      <c r="C87" s="367"/>
      <c r="D87" s="367"/>
      <c r="E87" s="176"/>
      <c r="F87" s="266"/>
      <c r="G87" s="267"/>
      <c r="H87" s="1453">
        <f>H84+H86</f>
        <v>128.92332415059687</v>
      </c>
      <c r="I87" s="1725"/>
      <c r="J87" s="1540"/>
      <c r="K87" s="1541"/>
      <c r="L87" s="1541"/>
      <c r="M87" s="564"/>
      <c r="N87" s="669"/>
    </row>
    <row r="88" spans="1:16" ht="16.350000000000001" customHeight="1" x14ac:dyDescent="0.25">
      <c r="A88" s="516" t="s">
        <v>823</v>
      </c>
      <c r="B88" s="15"/>
      <c r="C88" s="15"/>
      <c r="D88" s="15"/>
      <c r="E88" s="517" t="s">
        <v>27</v>
      </c>
      <c r="F88" s="438"/>
      <c r="G88" s="476">
        <f>$M$101*(H87)</f>
        <v>183457.89026629934</v>
      </c>
      <c r="H88" s="28" t="s">
        <v>1237</v>
      </c>
      <c r="I88" s="86"/>
      <c r="J88" s="1597" t="s">
        <v>879</v>
      </c>
      <c r="K88" s="1598"/>
      <c r="L88" s="1598"/>
      <c r="M88" s="564">
        <v>295</v>
      </c>
      <c r="N88" s="669">
        <v>43466</v>
      </c>
      <c r="O88" s="669"/>
    </row>
    <row r="89" spans="1:16" ht="16.350000000000001" customHeight="1" x14ac:dyDescent="0.25">
      <c r="A89" s="248"/>
      <c r="B89" s="15"/>
      <c r="C89" s="15"/>
      <c r="D89" s="15"/>
      <c r="E89" s="517" t="s">
        <v>474</v>
      </c>
      <c r="F89" s="478"/>
      <c r="G89" s="477">
        <f>$M$99</f>
        <v>13408</v>
      </c>
      <c r="H89" s="662"/>
      <c r="I89" s="47"/>
      <c r="J89" s="1597" t="s">
        <v>880</v>
      </c>
      <c r="K89" s="1598"/>
      <c r="L89" s="1598"/>
      <c r="M89" s="564">
        <v>326</v>
      </c>
      <c r="N89" s="669">
        <v>43466</v>
      </c>
      <c r="O89" s="669"/>
    </row>
    <row r="90" spans="1:16" ht="16.350000000000001" customHeight="1" x14ac:dyDescent="0.25">
      <c r="A90" s="49"/>
      <c r="B90" s="28"/>
      <c r="C90" s="15" t="s">
        <v>4</v>
      </c>
      <c r="D90" s="15"/>
      <c r="E90" s="517" t="s">
        <v>28</v>
      </c>
      <c r="F90" s="477"/>
      <c r="G90" s="477">
        <f>ROUND(H87*22,2)</f>
        <v>2836.31</v>
      </c>
      <c r="H90" s="662" t="s">
        <v>901</v>
      </c>
      <c r="I90" s="47"/>
      <c r="J90" s="1597" t="s">
        <v>881</v>
      </c>
      <c r="K90" s="1598"/>
      <c r="L90" s="1598"/>
      <c r="M90" s="564">
        <v>69</v>
      </c>
      <c r="N90" s="669">
        <v>43466</v>
      </c>
      <c r="O90" s="669"/>
    </row>
    <row r="91" spans="1:16" ht="16.350000000000001" customHeight="1" x14ac:dyDescent="0.25">
      <c r="A91" s="522"/>
      <c r="B91" s="729" t="s">
        <v>609</v>
      </c>
      <c r="C91" s="841">
        <v>30694.66</v>
      </c>
      <c r="D91" s="15"/>
      <c r="E91" s="517" t="s">
        <v>723</v>
      </c>
      <c r="F91" s="479"/>
      <c r="G91" s="477">
        <f>$M$100</f>
        <v>286</v>
      </c>
      <c r="H91" s="663"/>
      <c r="I91" s="47"/>
      <c r="J91" s="1597" t="s">
        <v>882</v>
      </c>
      <c r="K91" s="1598"/>
      <c r="L91" s="1598"/>
      <c r="M91" s="564">
        <v>127</v>
      </c>
      <c r="N91" s="669">
        <v>43466</v>
      </c>
      <c r="O91" s="669"/>
      <c r="P91" s="848"/>
    </row>
    <row r="92" spans="1:16" ht="16.350000000000001" customHeight="1" x14ac:dyDescent="0.25">
      <c r="A92" s="522"/>
      <c r="B92" s="523" t="s">
        <v>567</v>
      </c>
      <c r="C92" s="728">
        <f>H85</f>
        <v>142.92470156106518</v>
      </c>
      <c r="D92" s="28"/>
      <c r="E92" s="517" t="s">
        <v>181</v>
      </c>
      <c r="F92" s="28"/>
      <c r="G92" s="827">
        <f>C91*C94</f>
        <v>27687.7092001288</v>
      </c>
      <c r="H92" s="664" t="s">
        <v>29</v>
      </c>
      <c r="I92" s="47"/>
      <c r="J92" s="1597" t="s">
        <v>883</v>
      </c>
      <c r="K92" s="1598"/>
      <c r="L92" s="1598"/>
      <c r="M92" s="564">
        <v>319</v>
      </c>
      <c r="N92" s="669">
        <v>43466</v>
      </c>
      <c r="O92" s="669"/>
    </row>
    <row r="93" spans="1:16" ht="16.350000000000001" customHeight="1" x14ac:dyDescent="0.25">
      <c r="A93" s="522"/>
      <c r="B93" s="729" t="s">
        <v>944</v>
      </c>
      <c r="C93" s="1517">
        <v>0.83270562999999997</v>
      </c>
      <c r="D93" s="421"/>
      <c r="E93" s="518" t="s">
        <v>936</v>
      </c>
      <c r="F93" s="28"/>
      <c r="G93" s="727"/>
      <c r="H93" s="1601"/>
      <c r="I93" s="1602"/>
      <c r="J93" s="1597" t="s">
        <v>884</v>
      </c>
      <c r="K93" s="1598"/>
      <c r="L93" s="1598"/>
      <c r="M93" s="564">
        <v>79</v>
      </c>
      <c r="N93" s="669">
        <v>43466</v>
      </c>
      <c r="O93" s="669"/>
    </row>
    <row r="94" spans="1:16" ht="16.350000000000001" customHeight="1" x14ac:dyDescent="0.25">
      <c r="A94" s="524" t="s">
        <v>556</v>
      </c>
      <c r="B94" s="519" t="s">
        <v>167</v>
      </c>
      <c r="C94" s="1516">
        <v>0.90203668000000004</v>
      </c>
      <c r="D94" s="422"/>
      <c r="E94" s="521"/>
      <c r="F94" s="166"/>
      <c r="G94" s="672">
        <f>SUM(G88:G93)</f>
        <v>227675.90946642813</v>
      </c>
      <c r="H94" s="165"/>
      <c r="I94" s="557"/>
      <c r="J94" s="1597" t="s">
        <v>911</v>
      </c>
      <c r="K94" s="1598"/>
      <c r="L94" s="1598"/>
      <c r="M94" s="564">
        <v>294</v>
      </c>
      <c r="N94" s="669">
        <v>43466</v>
      </c>
      <c r="O94" s="669"/>
    </row>
    <row r="95" spans="1:16" ht="16.350000000000001" customHeight="1" x14ac:dyDescent="0.25">
      <c r="A95" s="525"/>
      <c r="B95" s="519" t="s">
        <v>168</v>
      </c>
      <c r="C95" s="99" t="s">
        <v>1044</v>
      </c>
      <c r="D95" s="180"/>
      <c r="E95" s="183"/>
      <c r="F95" s="166"/>
      <c r="G95" s="1276">
        <v>227405.91</v>
      </c>
      <c r="H95" s="50" t="s">
        <v>1111</v>
      </c>
      <c r="I95" s="557"/>
      <c r="J95" s="1597" t="s">
        <v>885</v>
      </c>
      <c r="K95" s="1598"/>
      <c r="L95" s="1598"/>
      <c r="M95" s="564">
        <v>70394</v>
      </c>
      <c r="N95" s="669">
        <v>43466</v>
      </c>
      <c r="O95" s="669"/>
    </row>
    <row r="96" spans="1:16" ht="16.350000000000001" customHeight="1" x14ac:dyDescent="0.25">
      <c r="A96" s="525"/>
      <c r="B96" s="519" t="s">
        <v>169</v>
      </c>
      <c r="C96" s="28"/>
      <c r="D96" s="184"/>
      <c r="E96" s="1452"/>
      <c r="F96" s="166"/>
      <c r="G96" s="28"/>
      <c r="H96" s="28"/>
      <c r="I96" s="15"/>
      <c r="J96" s="1597" t="s">
        <v>1156</v>
      </c>
      <c r="K96" s="1598"/>
      <c r="L96" s="1598"/>
      <c r="M96" s="564">
        <v>44908</v>
      </c>
      <c r="N96" s="669">
        <v>43466</v>
      </c>
      <c r="O96" s="669"/>
    </row>
    <row r="97" spans="1:18" ht="16.350000000000001" customHeight="1" thickBot="1" x14ac:dyDescent="0.3">
      <c r="A97" s="51"/>
      <c r="B97" s="42"/>
      <c r="C97" s="42"/>
      <c r="D97" s="185"/>
      <c r="E97" s="394"/>
      <c r="F97" s="250"/>
      <c r="G97" s="42"/>
      <c r="H97" s="42"/>
      <c r="I97" s="42"/>
      <c r="J97" s="1606" t="s">
        <v>1157</v>
      </c>
      <c r="K97" s="1607"/>
      <c r="L97" s="1607"/>
      <c r="M97" s="564">
        <v>3346</v>
      </c>
      <c r="N97" s="669">
        <v>43466</v>
      </c>
      <c r="O97" s="669"/>
    </row>
    <row r="98" spans="1:18" ht="16.350000000000001" customHeight="1" thickBot="1" x14ac:dyDescent="0.3">
      <c r="A98" s="1422"/>
      <c r="B98" s="1422"/>
      <c r="C98" s="1422"/>
      <c r="D98" s="1423"/>
      <c r="E98" s="1422"/>
      <c r="F98" s="1422"/>
      <c r="G98" s="1422"/>
      <c r="H98" s="1422"/>
      <c r="I98" s="1422"/>
      <c r="J98" s="1612" t="s">
        <v>1158</v>
      </c>
      <c r="K98" s="1613"/>
      <c r="L98" s="1613"/>
      <c r="M98" s="564">
        <v>7058</v>
      </c>
      <c r="N98" s="669">
        <v>43466</v>
      </c>
      <c r="O98" s="669"/>
    </row>
    <row r="99" spans="1:18" ht="16.350000000000001" customHeight="1" thickBot="1" x14ac:dyDescent="0.3">
      <c r="A99" s="1456" t="s">
        <v>465</v>
      </c>
      <c r="B99" s="1457">
        <v>42887</v>
      </c>
      <c r="C99" s="1458" t="s">
        <v>543</v>
      </c>
      <c r="D99" s="1459" t="s">
        <v>542</v>
      </c>
      <c r="E99" s="1459" t="s">
        <v>549</v>
      </c>
      <c r="F99" s="1458"/>
      <c r="G99" s="1458" t="s">
        <v>547</v>
      </c>
      <c r="H99" s="1458" t="s">
        <v>555</v>
      </c>
      <c r="I99" s="1460"/>
      <c r="J99" s="1608" t="s">
        <v>1145</v>
      </c>
      <c r="K99" s="1609"/>
      <c r="L99" s="1609"/>
      <c r="M99" s="564">
        <v>13408</v>
      </c>
      <c r="N99" s="669">
        <v>43466</v>
      </c>
      <c r="O99" s="669"/>
    </row>
    <row r="100" spans="1:18" ht="16.350000000000001" customHeight="1" x14ac:dyDescent="0.25">
      <c r="A100" s="1461"/>
      <c r="B100" s="1462"/>
      <c r="C100" s="1463" t="s">
        <v>564</v>
      </c>
      <c r="D100" s="1463" t="s">
        <v>564</v>
      </c>
      <c r="E100" s="1463" t="s">
        <v>130</v>
      </c>
      <c r="F100" s="1463" t="s">
        <v>10</v>
      </c>
      <c r="G100" s="1463" t="s">
        <v>6</v>
      </c>
      <c r="H100" s="1463" t="s">
        <v>554</v>
      </c>
      <c r="I100" s="1462"/>
      <c r="J100" s="1608" t="s">
        <v>1146</v>
      </c>
      <c r="K100" s="1609"/>
      <c r="L100" s="1609"/>
      <c r="M100" s="564">
        <v>286</v>
      </c>
      <c r="N100" s="669">
        <v>43466</v>
      </c>
      <c r="O100" s="669"/>
    </row>
    <row r="101" spans="1:18" ht="16.350000000000001" customHeight="1" x14ac:dyDescent="0.25">
      <c r="A101" s="1464"/>
      <c r="B101" s="1465" t="s">
        <v>180</v>
      </c>
      <c r="C101" s="1466">
        <v>624866</v>
      </c>
      <c r="D101" s="1466">
        <f>C84</f>
        <v>1710403</v>
      </c>
      <c r="E101" s="1467"/>
      <c r="F101" s="1468">
        <f>C101-D101</f>
        <v>-1085537</v>
      </c>
      <c r="G101" s="1469">
        <f>F101/435.6</f>
        <v>-2492.050045913682</v>
      </c>
      <c r="H101" s="1470">
        <f>G101</f>
        <v>-2492.050045913682</v>
      </c>
      <c r="I101" s="1471" t="s">
        <v>568</v>
      </c>
      <c r="J101" s="1610" t="s">
        <v>1147</v>
      </c>
      <c r="K101" s="1611"/>
      <c r="L101" s="1611"/>
      <c r="M101" s="564">
        <v>1423</v>
      </c>
      <c r="N101" s="669">
        <v>43466</v>
      </c>
      <c r="O101" s="669"/>
    </row>
    <row r="102" spans="1:18" ht="17.100000000000001" customHeight="1" x14ac:dyDescent="0.25">
      <c r="A102" s="1472" t="s">
        <v>189</v>
      </c>
      <c r="B102" s="1465" t="s">
        <v>190</v>
      </c>
      <c r="C102" s="1473">
        <v>13782201</v>
      </c>
      <c r="D102" s="1473">
        <f>C85</f>
        <v>15095247</v>
      </c>
      <c r="E102" s="1467"/>
      <c r="F102" s="1468">
        <f>C102-D102</f>
        <v>-1313046</v>
      </c>
      <c r="G102" s="1462">
        <f>ROUND(F102/43560,6)</f>
        <v>-30.143388000000002</v>
      </c>
      <c r="H102" s="1470">
        <f>G102</f>
        <v>-30.143388000000002</v>
      </c>
      <c r="I102" s="1471" t="s">
        <v>950</v>
      </c>
      <c r="J102" s="1597" t="s">
        <v>1150</v>
      </c>
      <c r="K102" s="1598"/>
      <c r="L102" s="1598"/>
      <c r="M102" s="564">
        <v>11913.9</v>
      </c>
      <c r="N102" s="669">
        <v>43466</v>
      </c>
      <c r="O102" s="669"/>
    </row>
    <row r="103" spans="1:18" ht="17.100000000000001" customHeight="1" x14ac:dyDescent="0.25">
      <c r="A103" s="1474"/>
      <c r="B103" s="1475"/>
      <c r="C103" s="1476"/>
      <c r="D103" s="1476"/>
      <c r="E103" s="1477"/>
      <c r="F103" s="1477"/>
      <c r="G103" s="1478"/>
      <c r="H103" s="1479"/>
      <c r="I103" s="1480"/>
      <c r="J103" s="1597" t="s">
        <v>1149</v>
      </c>
      <c r="K103" s="1598"/>
      <c r="L103" s="1598"/>
      <c r="M103" s="564">
        <v>1081.5</v>
      </c>
      <c r="N103" s="669">
        <v>43466</v>
      </c>
      <c r="O103" s="669"/>
    </row>
    <row r="104" spans="1:18" ht="16.350000000000001" customHeight="1" x14ac:dyDescent="0.25">
      <c r="A104" s="1481" t="s">
        <v>822</v>
      </c>
      <c r="B104" s="1462"/>
      <c r="C104" s="1462"/>
      <c r="D104" s="1462"/>
      <c r="E104" s="1482" t="s">
        <v>27</v>
      </c>
      <c r="F104" s="1483"/>
      <c r="G104" s="1484">
        <f>$M$101*H101</f>
        <v>-3546187.2153351693</v>
      </c>
      <c r="H104" s="1465" t="s">
        <v>1205</v>
      </c>
      <c r="I104" s="1485"/>
      <c r="J104" s="1597" t="s">
        <v>1148</v>
      </c>
      <c r="K104" s="1598"/>
      <c r="L104" s="1598"/>
      <c r="M104" s="564">
        <v>1582.3</v>
      </c>
      <c r="N104" s="669">
        <v>43466</v>
      </c>
      <c r="O104" s="669"/>
    </row>
    <row r="105" spans="1:18" ht="16.350000000000001" customHeight="1" x14ac:dyDescent="0.25">
      <c r="A105" s="1464"/>
      <c r="B105" s="1462"/>
      <c r="C105" s="1462"/>
      <c r="D105" s="1462"/>
      <c r="E105" s="1482" t="s">
        <v>474</v>
      </c>
      <c r="F105" s="1486"/>
      <c r="G105" s="1484">
        <f>$M$99</f>
        <v>13408</v>
      </c>
      <c r="H105" s="1487"/>
      <c r="I105" s="1488"/>
      <c r="J105" s="1597" t="s">
        <v>1151</v>
      </c>
      <c r="K105" s="1598"/>
      <c r="L105" s="1598"/>
      <c r="M105" s="564">
        <v>10722.5</v>
      </c>
      <c r="N105" s="669">
        <v>43466</v>
      </c>
      <c r="O105" s="669"/>
    </row>
    <row r="106" spans="1:18" ht="16.350000000000001" customHeight="1" x14ac:dyDescent="0.25">
      <c r="A106" s="1464"/>
      <c r="B106" s="1465"/>
      <c r="C106" s="1462" t="s">
        <v>4</v>
      </c>
      <c r="D106" s="1462"/>
      <c r="E106" s="1482" t="s">
        <v>28</v>
      </c>
      <c r="F106" s="1489"/>
      <c r="G106" s="1484">
        <f>ROUND(H101*22,2)</f>
        <v>-54825.1</v>
      </c>
      <c r="H106" s="1487" t="s">
        <v>901</v>
      </c>
      <c r="I106" s="1488"/>
      <c r="J106" s="1597" t="s">
        <v>1152</v>
      </c>
      <c r="K106" s="1598"/>
      <c r="L106" s="1598"/>
      <c r="M106" s="564">
        <v>957.2</v>
      </c>
      <c r="N106" s="669">
        <v>43466</v>
      </c>
      <c r="O106" s="669"/>
    </row>
    <row r="107" spans="1:18" ht="16.350000000000001" customHeight="1" x14ac:dyDescent="0.25">
      <c r="A107" s="1464"/>
      <c r="B107" s="1490" t="s">
        <v>609</v>
      </c>
      <c r="C107" s="1491">
        <v>23344.65</v>
      </c>
      <c r="D107" s="1462"/>
      <c r="E107" s="1482" t="s">
        <v>723</v>
      </c>
      <c r="F107" s="1489"/>
      <c r="G107" s="1484">
        <f>$M$100</f>
        <v>286</v>
      </c>
      <c r="H107" s="1492"/>
      <c r="I107" s="1488"/>
      <c r="J107" s="1597" t="s">
        <v>1153</v>
      </c>
      <c r="K107" s="1598"/>
      <c r="L107" s="1598"/>
      <c r="M107" s="564">
        <v>1424.1</v>
      </c>
      <c r="N107" s="669">
        <v>43466</v>
      </c>
      <c r="O107" s="669"/>
    </row>
    <row r="108" spans="1:18" ht="16.350000000000001" customHeight="1" x14ac:dyDescent="0.25">
      <c r="A108" s="1464"/>
      <c r="B108" s="1493" t="s">
        <v>567</v>
      </c>
      <c r="C108" s="1494">
        <f>H102</f>
        <v>-30.143388000000002</v>
      </c>
      <c r="D108" s="1465"/>
      <c r="E108" s="1482" t="s">
        <v>181</v>
      </c>
      <c r="F108" s="1465"/>
      <c r="G108" s="1484">
        <f>C107*C110</f>
        <v>19899.005572561502</v>
      </c>
      <c r="H108" s="1495" t="s">
        <v>29</v>
      </c>
      <c r="I108" s="1488"/>
      <c r="J108" s="1599" t="s">
        <v>932</v>
      </c>
      <c r="K108" s="1600"/>
      <c r="L108" s="1600"/>
      <c r="M108" s="564">
        <v>1423</v>
      </c>
      <c r="N108" s="669">
        <v>43466</v>
      </c>
      <c r="O108" s="669"/>
    </row>
    <row r="109" spans="1:18" ht="16.350000000000001" customHeight="1" x14ac:dyDescent="0.25">
      <c r="A109" s="1464"/>
      <c r="B109" s="1490" t="s">
        <v>944</v>
      </c>
      <c r="C109" s="1496">
        <v>0.85240110999999996</v>
      </c>
      <c r="D109" s="1493"/>
      <c r="E109" s="1465" t="s">
        <v>381</v>
      </c>
      <c r="F109" s="1465"/>
      <c r="G109" s="1484">
        <v>19284.919999999998</v>
      </c>
      <c r="H109" s="1497"/>
      <c r="I109" s="1488"/>
      <c r="J109" s="1599" t="s">
        <v>1154</v>
      </c>
      <c r="K109" s="1600"/>
      <c r="L109" s="1600"/>
      <c r="M109" s="1439">
        <v>1829.1179999999999</v>
      </c>
      <c r="N109" s="669">
        <v>42370</v>
      </c>
      <c r="O109" s="669" t="s">
        <v>1164</v>
      </c>
      <c r="R109" s="712"/>
    </row>
    <row r="110" spans="1:18" ht="16.350000000000001" customHeight="1" x14ac:dyDescent="0.25">
      <c r="A110" s="1498" t="s">
        <v>556</v>
      </c>
      <c r="B110" s="1465" t="s">
        <v>167</v>
      </c>
      <c r="C110" s="1499">
        <v>0.85240110999999996</v>
      </c>
      <c r="D110" s="1493"/>
      <c r="E110" s="1465" t="s">
        <v>381</v>
      </c>
      <c r="F110" s="1500"/>
      <c r="G110" s="1501">
        <v>0</v>
      </c>
      <c r="H110" s="1502"/>
      <c r="I110" s="1488"/>
      <c r="J110" s="1599" t="s">
        <v>1155</v>
      </c>
      <c r="K110" s="1600"/>
      <c r="L110" s="1600"/>
      <c r="M110" s="1439">
        <v>1901.778</v>
      </c>
      <c r="N110" s="669">
        <v>42156</v>
      </c>
      <c r="O110" s="669"/>
    </row>
    <row r="111" spans="1:18" ht="16.350000000000001" customHeight="1" x14ac:dyDescent="0.2">
      <c r="A111" s="1503"/>
      <c r="B111" s="1465" t="s">
        <v>168</v>
      </c>
      <c r="C111" s="1465"/>
      <c r="D111" s="1493"/>
      <c r="E111" s="1504"/>
      <c r="F111" s="1500"/>
      <c r="G111" s="1484">
        <f>SUM(G104:G110)</f>
        <v>-3548134.3897626079</v>
      </c>
      <c r="H111" s="1505"/>
      <c r="I111" s="1488"/>
      <c r="J111" s="708"/>
      <c r="K111" s="709"/>
      <c r="L111" s="709"/>
      <c r="M111" s="561"/>
      <c r="N111" s="669"/>
      <c r="O111" s="669"/>
    </row>
    <row r="112" spans="1:18" ht="16.350000000000001" customHeight="1" x14ac:dyDescent="0.25">
      <c r="A112" s="1503"/>
      <c r="B112" s="1465" t="s">
        <v>169</v>
      </c>
      <c r="C112" s="1465"/>
      <c r="D112" s="1506"/>
      <c r="E112" s="1504"/>
      <c r="F112" s="1500"/>
      <c r="G112" s="1507">
        <v>200712.75</v>
      </c>
      <c r="H112" s="1465"/>
      <c r="I112" s="1462"/>
      <c r="J112" s="1595" t="s">
        <v>902</v>
      </c>
      <c r="K112" s="1596"/>
      <c r="L112" s="1596"/>
      <c r="M112" s="666">
        <v>43560</v>
      </c>
      <c r="O112" s="669"/>
    </row>
    <row r="113" spans="1:15" ht="16.350000000000001" customHeight="1" thickBot="1" x14ac:dyDescent="0.3">
      <c r="A113" s="1508"/>
      <c r="B113" s="1509"/>
      <c r="C113" s="1509"/>
      <c r="D113" s="1510"/>
      <c r="E113" s="1511"/>
      <c r="F113" s="1511"/>
      <c r="G113" s="1509"/>
      <c r="H113" s="1509"/>
      <c r="I113" s="1509"/>
      <c r="J113" s="1593" t="s">
        <v>1019</v>
      </c>
      <c r="K113" s="1594"/>
      <c r="L113" s="1594"/>
      <c r="M113" s="579">
        <v>325851</v>
      </c>
      <c r="O113" s="669"/>
    </row>
    <row r="114" spans="1:15" ht="16.350000000000001" customHeight="1" x14ac:dyDescent="0.25">
      <c r="A114" s="1422"/>
      <c r="B114" s="1422"/>
      <c r="C114" s="1422"/>
      <c r="D114" s="1422"/>
      <c r="E114" s="1422"/>
      <c r="F114" s="1422"/>
      <c r="G114" s="1422"/>
      <c r="H114" s="1422"/>
      <c r="I114" s="1422"/>
      <c r="J114" s="559"/>
      <c r="K114" s="560"/>
      <c r="L114" s="560"/>
      <c r="M114" s="563"/>
      <c r="O114" s="669"/>
    </row>
    <row r="115" spans="1:15" ht="16.350000000000001" customHeight="1" x14ac:dyDescent="0.25">
      <c r="J115" s="559"/>
      <c r="K115" s="1592" t="s">
        <v>897</v>
      </c>
      <c r="L115" s="1592"/>
      <c r="M115" s="563"/>
    </row>
    <row r="116" spans="1:15" ht="16.350000000000001" customHeight="1" x14ac:dyDescent="0.25">
      <c r="J116" s="559"/>
      <c r="K116" s="713">
        <v>42736</v>
      </c>
      <c r="L116" s="645">
        <v>1</v>
      </c>
      <c r="M116" s="584"/>
    </row>
    <row r="117" spans="1:15" ht="16.350000000000001" customHeight="1" x14ac:dyDescent="0.25">
      <c r="J117" s="842" t="s">
        <v>1022</v>
      </c>
      <c r="K117" s="713">
        <v>42767</v>
      </c>
      <c r="L117" s="645">
        <v>1</v>
      </c>
      <c r="M117" s="584"/>
    </row>
    <row r="118" spans="1:15" ht="16.350000000000001" customHeight="1" x14ac:dyDescent="0.25">
      <c r="J118" s="842" t="s">
        <v>1023</v>
      </c>
      <c r="K118" s="713">
        <v>42795</v>
      </c>
      <c r="L118" s="645">
        <v>1</v>
      </c>
      <c r="M118" s="584"/>
    </row>
    <row r="119" spans="1:15" ht="16.350000000000001" customHeight="1" x14ac:dyDescent="0.25">
      <c r="J119" s="842" t="s">
        <v>1024</v>
      </c>
      <c r="K119" s="713">
        <v>42826</v>
      </c>
      <c r="L119" s="645">
        <v>1</v>
      </c>
      <c r="M119" s="584"/>
    </row>
    <row r="120" spans="1:15" ht="16.350000000000001" customHeight="1" x14ac:dyDescent="0.25">
      <c r="J120" s="842"/>
      <c r="K120" s="713">
        <v>42856</v>
      </c>
      <c r="L120" s="645">
        <v>1</v>
      </c>
      <c r="M120" s="584"/>
    </row>
    <row r="121" spans="1:15" ht="16.350000000000001" customHeight="1" x14ac:dyDescent="0.25">
      <c r="J121" s="842"/>
      <c r="K121" s="713">
        <v>42887</v>
      </c>
      <c r="L121" s="645">
        <v>1</v>
      </c>
      <c r="M121" s="584"/>
    </row>
    <row r="122" spans="1:15" ht="16.350000000000001" customHeight="1" x14ac:dyDescent="0.25">
      <c r="J122" s="842"/>
      <c r="K122" s="713">
        <v>42917</v>
      </c>
      <c r="L122" s="645">
        <v>1</v>
      </c>
      <c r="M122" s="584"/>
    </row>
    <row r="123" spans="1:15" ht="16.350000000000001" customHeight="1" x14ac:dyDescent="0.25">
      <c r="J123" s="559"/>
      <c r="K123" s="713">
        <v>42948</v>
      </c>
      <c r="L123" s="645">
        <v>1</v>
      </c>
      <c r="M123" s="584"/>
    </row>
    <row r="124" spans="1:15" ht="16.350000000000001" customHeight="1" x14ac:dyDescent="0.25">
      <c r="J124" s="559"/>
      <c r="K124" s="713">
        <v>42979</v>
      </c>
      <c r="L124" s="645">
        <v>1</v>
      </c>
      <c r="M124" s="584"/>
    </row>
    <row r="125" spans="1:15" ht="16.350000000000001" customHeight="1" x14ac:dyDescent="0.25">
      <c r="J125" s="559"/>
      <c r="K125" s="713">
        <v>43009</v>
      </c>
      <c r="L125" s="645">
        <f t="shared" ref="L125:L127" si="14">IF(K125=$C$1,1,0)</f>
        <v>0</v>
      </c>
      <c r="M125" s="584"/>
    </row>
    <row r="126" spans="1:15" ht="16.350000000000001" customHeight="1" x14ac:dyDescent="0.25">
      <c r="J126" s="559"/>
      <c r="K126" s="713">
        <v>43040</v>
      </c>
      <c r="L126" s="645">
        <f t="shared" si="14"/>
        <v>0</v>
      </c>
      <c r="M126" s="584"/>
    </row>
    <row r="127" spans="1:15" ht="16.350000000000001" customHeight="1" x14ac:dyDescent="0.25">
      <c r="J127" s="559"/>
      <c r="K127" s="713">
        <v>43070</v>
      </c>
      <c r="L127" s="645">
        <f t="shared" si="14"/>
        <v>0</v>
      </c>
      <c r="M127" s="648"/>
    </row>
    <row r="128" spans="1:15" ht="16.350000000000001" customHeight="1" thickBot="1" x14ac:dyDescent="0.3">
      <c r="J128" s="562"/>
      <c r="K128" s="646"/>
      <c r="L128" s="647">
        <v>8</v>
      </c>
      <c r="M128" s="643"/>
    </row>
    <row r="129" spans="10:13" ht="16.350000000000001" customHeight="1" x14ac:dyDescent="0.25">
      <c r="J129" s="1447"/>
      <c r="K129" s="1447"/>
      <c r="L129" s="1447"/>
      <c r="M129" s="1448"/>
    </row>
    <row r="133" spans="10:13" ht="18" customHeight="1" x14ac:dyDescent="0.2"/>
  </sheetData>
  <mergeCells count="97">
    <mergeCell ref="J102:L102"/>
    <mergeCell ref="J108:L108"/>
    <mergeCell ref="J95:L95"/>
    <mergeCell ref="J96:L96"/>
    <mergeCell ref="J97:L97"/>
    <mergeCell ref="J100:L100"/>
    <mergeCell ref="J101:L101"/>
    <mergeCell ref="J98:L98"/>
    <mergeCell ref="J99:L99"/>
    <mergeCell ref="J103:L103"/>
    <mergeCell ref="J104:L104"/>
    <mergeCell ref="J105:L105"/>
    <mergeCell ref="J94:L94"/>
    <mergeCell ref="J69:K69"/>
    <mergeCell ref="J70:K70"/>
    <mergeCell ref="J71:K71"/>
    <mergeCell ref="J72:K72"/>
    <mergeCell ref="J77:K77"/>
    <mergeCell ref="J79:K79"/>
    <mergeCell ref="J91:L91"/>
    <mergeCell ref="H93:I93"/>
    <mergeCell ref="J78:K78"/>
    <mergeCell ref="J45:K45"/>
    <mergeCell ref="J46:K46"/>
    <mergeCell ref="J47:K47"/>
    <mergeCell ref="J48:K48"/>
    <mergeCell ref="J84:L84"/>
    <mergeCell ref="J86:L86"/>
    <mergeCell ref="J88:L88"/>
    <mergeCell ref="J89:L89"/>
    <mergeCell ref="J90:L90"/>
    <mergeCell ref="J68:K68"/>
    <mergeCell ref="J92:L92"/>
    <mergeCell ref="J93:L93"/>
    <mergeCell ref="J73:K73"/>
    <mergeCell ref="J74:K74"/>
    <mergeCell ref="K115:L115"/>
    <mergeCell ref="J113:L113"/>
    <mergeCell ref="J112:L112"/>
    <mergeCell ref="J106:L106"/>
    <mergeCell ref="J109:L109"/>
    <mergeCell ref="J110:L110"/>
    <mergeCell ref="J107:L107"/>
    <mergeCell ref="J21:K21"/>
    <mergeCell ref="J26:K26"/>
    <mergeCell ref="J31:K31"/>
    <mergeCell ref="F10:G10"/>
    <mergeCell ref="J24:K24"/>
    <mergeCell ref="J27:K27"/>
    <mergeCell ref="J22:K22"/>
    <mergeCell ref="J28:K28"/>
    <mergeCell ref="J23:K23"/>
    <mergeCell ref="J25:K25"/>
    <mergeCell ref="A1:B1"/>
    <mergeCell ref="B3:C3"/>
    <mergeCell ref="D3:E3"/>
    <mergeCell ref="F3:G3"/>
    <mergeCell ref="H3:I3"/>
    <mergeCell ref="L3:M3"/>
    <mergeCell ref="L5:M6"/>
    <mergeCell ref="L13:M13"/>
    <mergeCell ref="J18:K18"/>
    <mergeCell ref="L11:M11"/>
    <mergeCell ref="L12:M12"/>
    <mergeCell ref="L14:M14"/>
    <mergeCell ref="L4:M4"/>
    <mergeCell ref="L7:M7"/>
    <mergeCell ref="L8:M8"/>
    <mergeCell ref="J67:K67"/>
    <mergeCell ref="J58:K58"/>
    <mergeCell ref="J61:K61"/>
    <mergeCell ref="J52:K52"/>
    <mergeCell ref="J57:K57"/>
    <mergeCell ref="J59:K59"/>
    <mergeCell ref="J60:K60"/>
    <mergeCell ref="J66:K66"/>
    <mergeCell ref="J36:K36"/>
    <mergeCell ref="J35:K35"/>
    <mergeCell ref="J50:K50"/>
    <mergeCell ref="J51:K51"/>
    <mergeCell ref="J49:K49"/>
    <mergeCell ref="B58:D58"/>
    <mergeCell ref="L9:M9"/>
    <mergeCell ref="L10:M10"/>
    <mergeCell ref="L15:M15"/>
    <mergeCell ref="J38:K38"/>
    <mergeCell ref="J37:K37"/>
    <mergeCell ref="J44:K44"/>
    <mergeCell ref="J55:K55"/>
    <mergeCell ref="J56:K56"/>
    <mergeCell ref="J19:K19"/>
    <mergeCell ref="J20:K20"/>
    <mergeCell ref="J29:K30"/>
    <mergeCell ref="J34:K34"/>
    <mergeCell ref="J33:K33"/>
    <mergeCell ref="J32:K32"/>
    <mergeCell ref="I43:I48"/>
  </mergeCells>
  <phoneticPr fontId="0" type="noConversion"/>
  <printOptions horizontalCentered="1"/>
  <pageMargins left="0.25" right="0.25" top="0.5" bottom="0.5" header="0.5" footer="0.5"/>
  <pageSetup scale="60" orientation="landscape" r:id="rId1"/>
  <headerFooter alignWithMargins="0">
    <oddFooter>&amp;L&amp;"Arial,Regular"&amp;6MONTHLY PRODUCTION / Wprod1213 (Prod Data).xls&amp;R&amp;D</oddFooter>
  </headerFooter>
  <rowBreaks count="2" manualBreakCount="2">
    <brk id="43" max="16383" man="1"/>
    <brk id="1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75"/>
  <sheetViews>
    <sheetView zoomScaleNormal="100" workbookViewId="0">
      <selection activeCell="B16" sqref="B16"/>
    </sheetView>
  </sheetViews>
  <sheetFormatPr defaultColWidth="8.75" defaultRowHeight="16.350000000000001" customHeight="1" x14ac:dyDescent="0.2"/>
  <cols>
    <col min="1" max="1" width="10.75" style="452" customWidth="1"/>
    <col min="2" max="2" width="12.75" style="452" customWidth="1"/>
    <col min="3" max="3" width="13.25" style="452" customWidth="1"/>
    <col min="4" max="6" width="13.75" style="452" customWidth="1"/>
    <col min="7" max="7" width="15.25" style="452" customWidth="1"/>
    <col min="8" max="8" width="14.5" style="454" customWidth="1"/>
    <col min="9" max="9" width="12.25" style="454" customWidth="1"/>
    <col min="10" max="10" width="4.25" style="454" customWidth="1"/>
    <col min="11" max="11" width="8.75" style="452"/>
    <col min="12" max="12" width="16.25" style="452" customWidth="1"/>
    <col min="13" max="13" width="15.375" style="452" customWidth="1"/>
    <col min="14" max="14" width="12.75" style="454" bestFit="1" customWidth="1"/>
    <col min="15" max="16384" width="8.75" style="454"/>
  </cols>
  <sheetData>
    <row r="1" spans="1:16" ht="16.350000000000001" customHeight="1" thickBot="1" x14ac:dyDescent="0.3">
      <c r="A1" s="1617" t="s">
        <v>33</v>
      </c>
      <c r="B1" s="1617"/>
      <c r="C1" s="1617"/>
      <c r="D1" s="1617"/>
      <c r="E1" s="1617"/>
      <c r="F1" s="1617"/>
      <c r="G1" s="1617"/>
      <c r="H1" s="1617"/>
      <c r="I1" s="1617"/>
      <c r="K1" s="668"/>
      <c r="L1" s="585">
        <v>9</v>
      </c>
      <c r="M1" s="454"/>
    </row>
    <row r="2" spans="1:16" ht="16.350000000000001" customHeight="1" x14ac:dyDescent="0.25">
      <c r="A2" s="705">
        <f>'Prod Data'!$M$84</f>
        <v>2019</v>
      </c>
      <c r="B2" s="565" t="s">
        <v>886</v>
      </c>
      <c r="C2" s="447" t="s">
        <v>861</v>
      </c>
      <c r="F2" s="447" t="s">
        <v>858</v>
      </c>
      <c r="G2" s="447" t="s">
        <v>418</v>
      </c>
      <c r="H2" s="22" t="s">
        <v>869</v>
      </c>
      <c r="I2" s="447" t="s">
        <v>860</v>
      </c>
      <c r="K2" s="593" t="s">
        <v>73</v>
      </c>
      <c r="L2" s="1441" t="s">
        <v>909</v>
      </c>
      <c r="M2" s="649"/>
      <c r="O2" s="704" t="s">
        <v>940</v>
      </c>
    </row>
    <row r="3" spans="1:16" ht="16.350000000000001" customHeight="1" x14ac:dyDescent="0.25">
      <c r="A3" s="455"/>
      <c r="B3" s="565" t="s">
        <v>887</v>
      </c>
      <c r="C3" s="447" t="s">
        <v>863</v>
      </c>
      <c r="F3" s="447" t="s">
        <v>861</v>
      </c>
      <c r="G3" s="447" t="s">
        <v>861</v>
      </c>
      <c r="H3" s="578" t="s">
        <v>861</v>
      </c>
      <c r="I3" s="447" t="s">
        <v>867</v>
      </c>
      <c r="K3" s="1614" t="s">
        <v>892</v>
      </c>
      <c r="L3" s="1615"/>
      <c r="M3" s="1616"/>
    </row>
    <row r="4" spans="1:16" ht="16.350000000000001" customHeight="1" thickBot="1" x14ac:dyDescent="0.3">
      <c r="A4" s="456" t="s">
        <v>862</v>
      </c>
      <c r="B4" s="571" t="s">
        <v>888</v>
      </c>
      <c r="C4" s="448" t="s">
        <v>890</v>
      </c>
      <c r="D4" s="552" t="s">
        <v>877</v>
      </c>
      <c r="E4" s="552" t="s">
        <v>869</v>
      </c>
      <c r="F4" s="448" t="s">
        <v>863</v>
      </c>
      <c r="G4" s="448" t="s">
        <v>866</v>
      </c>
      <c r="H4" s="466" t="s">
        <v>858</v>
      </c>
      <c r="I4" s="448" t="s">
        <v>864</v>
      </c>
      <c r="K4" s="650"/>
      <c r="L4" s="651"/>
      <c r="M4" s="652"/>
    </row>
    <row r="5" spans="1:16" ht="16.350000000000001" customHeight="1" x14ac:dyDescent="0.25">
      <c r="A5" s="449"/>
      <c r="C5" s="449"/>
      <c r="F5" s="595">
        <v>0</v>
      </c>
      <c r="G5" s="667">
        <f>'Prod Data'!M105</f>
        <v>10722.5</v>
      </c>
      <c r="H5" s="469">
        <v>0</v>
      </c>
      <c r="I5" s="450"/>
      <c r="K5" s="586" t="s">
        <v>73</v>
      </c>
      <c r="L5" s="570" t="s">
        <v>418</v>
      </c>
      <c r="M5" s="587" t="s">
        <v>869</v>
      </c>
      <c r="P5" s="792"/>
    </row>
    <row r="6" spans="1:16" ht="16.350000000000001" customHeight="1" x14ac:dyDescent="0.25">
      <c r="A6" s="468" t="s">
        <v>54</v>
      </c>
      <c r="B6" s="793">
        <v>14310100</v>
      </c>
      <c r="C6" s="569">
        <f>B6/'Prod Data'!$M$112</f>
        <v>328.51469237832873</v>
      </c>
      <c r="D6" s="575">
        <f t="shared" ref="D6:D13" si="0">IF($G$5-F5&gt;0,IF($G$5-F5&gt;C6,C6,$G$5-F5),0)</f>
        <v>328.51469237832873</v>
      </c>
      <c r="E6" s="575">
        <f>IF(C6-D6=0,0,C6-D6)</f>
        <v>0</v>
      </c>
      <c r="F6" s="681">
        <f>C6</f>
        <v>328.51469237832873</v>
      </c>
      <c r="G6" s="681">
        <f>IF($G$5-F6&gt;0,$G$5-F6,0)</f>
        <v>10393.985307621671</v>
      </c>
      <c r="H6" s="567">
        <f t="shared" ref="H6:H15" si="1">IF(G6&gt;0,0,C6-G5)+H5</f>
        <v>0</v>
      </c>
      <c r="I6" s="462"/>
      <c r="K6" s="588">
        <v>1</v>
      </c>
      <c r="L6" s="575" t="str">
        <f t="shared" ref="L6:L17" si="2">IF($L$1=$K6,D6,"")</f>
        <v/>
      </c>
      <c r="M6" s="622" t="str">
        <f t="shared" ref="M6:M17" si="3">IF($L$1=$K6,E6,"")</f>
        <v/>
      </c>
      <c r="P6" s="792"/>
    </row>
    <row r="7" spans="1:16" ht="16.350000000000001" customHeight="1" x14ac:dyDescent="0.25">
      <c r="A7" s="468" t="s">
        <v>55</v>
      </c>
      <c r="B7" s="568">
        <v>10076700</v>
      </c>
      <c r="C7" s="569">
        <f>B7/'Prod Data'!$M$112</f>
        <v>231.32920110192836</v>
      </c>
      <c r="D7" s="575">
        <f t="shared" si="0"/>
        <v>231.32920110192836</v>
      </c>
      <c r="E7" s="575">
        <f t="shared" ref="E7:E15" si="4">IF(C7-D7=0,0,C7-D7)</f>
        <v>0</v>
      </c>
      <c r="F7" s="681">
        <f t="shared" ref="F7:F15" si="5">F6+C7</f>
        <v>559.84389348025707</v>
      </c>
      <c r="G7" s="681">
        <f t="shared" ref="G7:G17" si="6">IF($G$5-F7&gt;0,$G$5-F7,0)</f>
        <v>10162.656106519742</v>
      </c>
      <c r="H7" s="567">
        <f t="shared" si="1"/>
        <v>0</v>
      </c>
      <c r="I7" s="462"/>
      <c r="K7" s="588">
        <v>2</v>
      </c>
      <c r="L7" s="575" t="str">
        <f t="shared" si="2"/>
        <v/>
      </c>
      <c r="M7" s="622" t="str">
        <f t="shared" si="3"/>
        <v/>
      </c>
      <c r="P7" s="792"/>
    </row>
    <row r="8" spans="1:16" ht="16.350000000000001" customHeight="1" x14ac:dyDescent="0.25">
      <c r="A8" s="468" t="s">
        <v>58</v>
      </c>
      <c r="B8" s="568">
        <v>14227380</v>
      </c>
      <c r="C8" s="569">
        <f>B8/'Prod Data'!$M$112</f>
        <v>326.61570247933884</v>
      </c>
      <c r="D8" s="575">
        <f t="shared" si="0"/>
        <v>326.61570247933884</v>
      </c>
      <c r="E8" s="575">
        <f t="shared" si="4"/>
        <v>0</v>
      </c>
      <c r="F8" s="681">
        <f t="shared" ref="F8" si="7">F7+C8</f>
        <v>886.45959595959584</v>
      </c>
      <c r="G8" s="681">
        <f t="shared" ref="G8" si="8">IF($G$5-F8&gt;0,$G$5-F8,0)</f>
        <v>9836.0404040404046</v>
      </c>
      <c r="H8" s="567">
        <f t="shared" si="1"/>
        <v>0</v>
      </c>
      <c r="I8" s="462"/>
      <c r="K8" s="588">
        <v>3</v>
      </c>
      <c r="L8" s="575" t="str">
        <f>IF($L$1=$K8,D8,"")</f>
        <v/>
      </c>
      <c r="M8" s="622" t="str">
        <f t="shared" si="3"/>
        <v/>
      </c>
      <c r="P8" s="792"/>
    </row>
    <row r="9" spans="1:16" ht="16.350000000000001" customHeight="1" x14ac:dyDescent="0.25">
      <c r="A9" s="468" t="s">
        <v>61</v>
      </c>
      <c r="B9" s="568">
        <v>27230396</v>
      </c>
      <c r="C9" s="569">
        <f>B9/'Prod Data'!$M$112</f>
        <v>625.12387511478425</v>
      </c>
      <c r="D9" s="575">
        <f t="shared" si="0"/>
        <v>625.12387511478425</v>
      </c>
      <c r="E9" s="575">
        <f t="shared" si="4"/>
        <v>0</v>
      </c>
      <c r="F9" s="681">
        <f t="shared" si="5"/>
        <v>1511.5834710743802</v>
      </c>
      <c r="G9" s="681">
        <f t="shared" si="6"/>
        <v>9210.9165289256198</v>
      </c>
      <c r="H9" s="567">
        <f t="shared" si="1"/>
        <v>0</v>
      </c>
      <c r="I9" s="462"/>
      <c r="K9" s="588">
        <v>4</v>
      </c>
      <c r="L9" s="575" t="str">
        <f t="shared" si="2"/>
        <v/>
      </c>
      <c r="M9" s="622" t="str">
        <f t="shared" si="3"/>
        <v/>
      </c>
      <c r="P9" s="792"/>
    </row>
    <row r="10" spans="1:16" ht="16.350000000000001" customHeight="1" x14ac:dyDescent="0.25">
      <c r="A10" s="468" t="s">
        <v>63</v>
      </c>
      <c r="B10" s="568">
        <v>24711876</v>
      </c>
      <c r="C10" s="569">
        <f>B10/'Prod Data'!$M$112</f>
        <v>567.30661157024792</v>
      </c>
      <c r="D10" s="575">
        <f t="shared" si="0"/>
        <v>567.30661157024792</v>
      </c>
      <c r="E10" s="575">
        <f t="shared" si="4"/>
        <v>0</v>
      </c>
      <c r="F10" s="681">
        <f>F9+C10</f>
        <v>2078.8900826446279</v>
      </c>
      <c r="G10" s="681">
        <f t="shared" si="6"/>
        <v>8643.6099173553721</v>
      </c>
      <c r="H10" s="567">
        <f t="shared" si="1"/>
        <v>0</v>
      </c>
      <c r="I10" s="462"/>
      <c r="K10" s="588">
        <v>5</v>
      </c>
      <c r="L10" s="575" t="str">
        <f t="shared" si="2"/>
        <v/>
      </c>
      <c r="M10" s="622" t="str">
        <f t="shared" si="3"/>
        <v/>
      </c>
      <c r="P10" s="792"/>
    </row>
    <row r="11" spans="1:16" ht="16.350000000000001" customHeight="1" x14ac:dyDescent="0.25">
      <c r="A11" s="468" t="s">
        <v>65</v>
      </c>
      <c r="B11" s="568">
        <v>28074700</v>
      </c>
      <c r="C11" s="569">
        <f>B11/'Prod Data'!$M$112</f>
        <v>644.50642791551877</v>
      </c>
      <c r="D11" s="575">
        <f t="shared" si="0"/>
        <v>644.50642791551877</v>
      </c>
      <c r="E11" s="575">
        <f t="shared" si="4"/>
        <v>0</v>
      </c>
      <c r="F11" s="681">
        <f t="shared" si="5"/>
        <v>2723.3965105601465</v>
      </c>
      <c r="G11" s="681">
        <f t="shared" si="6"/>
        <v>7999.1034894398535</v>
      </c>
      <c r="H11" s="567">
        <f t="shared" si="1"/>
        <v>0</v>
      </c>
      <c r="I11" s="462"/>
      <c r="K11" s="588">
        <v>6</v>
      </c>
      <c r="L11" s="575" t="str">
        <f t="shared" si="2"/>
        <v/>
      </c>
      <c r="M11" s="622" t="str">
        <f t="shared" si="3"/>
        <v/>
      </c>
      <c r="P11" s="792"/>
    </row>
    <row r="12" spans="1:16" ht="16.350000000000001" customHeight="1" x14ac:dyDescent="0.25">
      <c r="A12" s="468" t="s">
        <v>67</v>
      </c>
      <c r="B12" s="568">
        <v>33598100</v>
      </c>
      <c r="C12" s="569">
        <f>B12/'Prod Data'!$M$112</f>
        <v>771.30624426078975</v>
      </c>
      <c r="D12" s="575">
        <f t="shared" si="0"/>
        <v>771.30624426078975</v>
      </c>
      <c r="E12" s="575">
        <f t="shared" si="4"/>
        <v>0</v>
      </c>
      <c r="F12" s="681">
        <f t="shared" ref="F12" si="9">F11+C12</f>
        <v>3494.7027548209362</v>
      </c>
      <c r="G12" s="681">
        <f t="shared" ref="G12" si="10">IF($G$5-F12&gt;0,$G$5-F12,0)</f>
        <v>7227.7972451790638</v>
      </c>
      <c r="H12" s="567">
        <f t="shared" si="1"/>
        <v>0</v>
      </c>
      <c r="I12" s="462"/>
      <c r="K12" s="588">
        <v>7</v>
      </c>
      <c r="L12" s="575" t="str">
        <f t="shared" si="2"/>
        <v/>
      </c>
      <c r="M12" s="622" t="str">
        <f t="shared" ref="M12" si="11">IF($L$1=$K12,E12,"")</f>
        <v/>
      </c>
      <c r="P12" s="792"/>
    </row>
    <row r="13" spans="1:16" ht="16.350000000000001" customHeight="1" x14ac:dyDescent="0.25">
      <c r="A13" s="468" t="s">
        <v>62</v>
      </c>
      <c r="B13" s="568">
        <v>35546624</v>
      </c>
      <c r="C13" s="569">
        <f>B13/'Prod Data'!$M$112</f>
        <v>816.03820018365468</v>
      </c>
      <c r="D13" s="575">
        <f t="shared" si="0"/>
        <v>816.03820018365468</v>
      </c>
      <c r="E13" s="575">
        <f t="shared" si="4"/>
        <v>0</v>
      </c>
      <c r="F13" s="681">
        <f t="shared" si="5"/>
        <v>4310.7409550045904</v>
      </c>
      <c r="G13" s="681">
        <f t="shared" si="6"/>
        <v>6411.7590449954096</v>
      </c>
      <c r="H13" s="567">
        <f t="shared" si="1"/>
        <v>0</v>
      </c>
      <c r="I13" s="577"/>
      <c r="K13" s="588">
        <v>8</v>
      </c>
      <c r="L13" s="575" t="str">
        <f t="shared" si="2"/>
        <v/>
      </c>
      <c r="M13" s="622" t="str">
        <f t="shared" si="3"/>
        <v/>
      </c>
      <c r="P13" s="792"/>
    </row>
    <row r="14" spans="1:16" ht="16.350000000000001" customHeight="1" x14ac:dyDescent="0.25">
      <c r="A14" s="468" t="s">
        <v>79</v>
      </c>
      <c r="B14" s="568">
        <v>33088271</v>
      </c>
      <c r="C14" s="569">
        <f>B14/'Prod Data'!$M$112</f>
        <v>759.60218089990815</v>
      </c>
      <c r="D14" s="575">
        <f>IF($G$5-F13&gt;0,IF($G$5-F13&gt;C14,C14,$G$5-F13),0)</f>
        <v>759.60218089990815</v>
      </c>
      <c r="E14" s="575">
        <f t="shared" si="4"/>
        <v>0</v>
      </c>
      <c r="F14" s="681">
        <f t="shared" si="5"/>
        <v>5070.3431359044989</v>
      </c>
      <c r="G14" s="681">
        <f t="shared" si="6"/>
        <v>5652.1568640955011</v>
      </c>
      <c r="H14" s="567">
        <f t="shared" si="1"/>
        <v>0</v>
      </c>
      <c r="I14" s="462"/>
      <c r="K14" s="588">
        <v>9</v>
      </c>
      <c r="L14" s="575">
        <f t="shared" si="2"/>
        <v>759.60218089990815</v>
      </c>
      <c r="M14" s="622">
        <f t="shared" si="3"/>
        <v>0</v>
      </c>
      <c r="P14" s="792"/>
    </row>
    <row r="15" spans="1:16" ht="16.350000000000001" customHeight="1" x14ac:dyDescent="0.25">
      <c r="A15" s="468" t="s">
        <v>66</v>
      </c>
      <c r="B15" s="568"/>
      <c r="C15" s="569">
        <f>B15/'Prod Data'!$M$112</f>
        <v>0</v>
      </c>
      <c r="D15" s="575">
        <f>IF($G$5-F14&gt;0,IF($G$5-F14&gt;C15,C15,$G$5-F14),0)</f>
        <v>0</v>
      </c>
      <c r="E15" s="575">
        <f t="shared" si="4"/>
        <v>0</v>
      </c>
      <c r="F15" s="681">
        <f t="shared" si="5"/>
        <v>5070.3431359044989</v>
      </c>
      <c r="G15" s="681">
        <f t="shared" si="6"/>
        <v>5652.1568640955011</v>
      </c>
      <c r="H15" s="567">
        <f t="shared" si="1"/>
        <v>0</v>
      </c>
      <c r="I15" s="462"/>
      <c r="K15" s="588">
        <v>10</v>
      </c>
      <c r="L15" s="575" t="str">
        <f t="shared" si="2"/>
        <v/>
      </c>
      <c r="M15" s="622" t="str">
        <f t="shared" si="3"/>
        <v/>
      </c>
      <c r="P15" s="792"/>
    </row>
    <row r="16" spans="1:16" ht="16.350000000000001" customHeight="1" x14ac:dyDescent="0.25">
      <c r="A16" s="468" t="s">
        <v>56</v>
      </c>
      <c r="B16" s="568"/>
      <c r="C16" s="569">
        <f>B16/'Prod Data'!$M$112</f>
        <v>0</v>
      </c>
      <c r="D16" s="575">
        <f>IF($G$5-F15&gt;0,IF($G$5-F15&gt;C16,C16,$G$5-F15),0)</f>
        <v>0</v>
      </c>
      <c r="E16" s="575">
        <f>IF(C16-D16=0,0,C16-D16)</f>
        <v>0</v>
      </c>
      <c r="F16" s="681">
        <f>F15+C16</f>
        <v>5070.3431359044989</v>
      </c>
      <c r="G16" s="681">
        <f t="shared" si="6"/>
        <v>5652.1568640955011</v>
      </c>
      <c r="H16" s="567">
        <f>IF(G16&gt;0,0,C16-G15)+H15</f>
        <v>0</v>
      </c>
      <c r="I16" s="462"/>
      <c r="K16" s="588">
        <v>11</v>
      </c>
      <c r="L16" s="575" t="str">
        <f>IF($L$1=$K16,D16,"")</f>
        <v/>
      </c>
      <c r="M16" s="622" t="str">
        <f t="shared" si="3"/>
        <v/>
      </c>
      <c r="N16" s="575"/>
      <c r="P16" s="792"/>
    </row>
    <row r="17" spans="1:16" ht="16.350000000000001" customHeight="1" thickBot="1" x14ac:dyDescent="0.3">
      <c r="A17" s="468" t="s">
        <v>59</v>
      </c>
      <c r="B17" s="568"/>
      <c r="C17" s="569">
        <f>B17/'Prod Data'!$M$112</f>
        <v>0</v>
      </c>
      <c r="D17" s="575">
        <f>IF($G$5-F16&gt;0,IF($G$5-F16&gt;C17,C17,$G$5-F16),0)</f>
        <v>0</v>
      </c>
      <c r="E17" s="1332">
        <f>IF(C17-D17=0,0,C17-D17)</f>
        <v>0</v>
      </c>
      <c r="F17" s="681">
        <f>F16+C17</f>
        <v>5070.3431359044989</v>
      </c>
      <c r="G17" s="681">
        <f t="shared" si="6"/>
        <v>5652.1568640955011</v>
      </c>
      <c r="H17" s="567">
        <f>IF(G17&gt;0,0,C17-G16)+H16</f>
        <v>0</v>
      </c>
      <c r="I17" s="462"/>
      <c r="K17" s="589">
        <v>12</v>
      </c>
      <c r="L17" s="623" t="str">
        <f t="shared" si="2"/>
        <v/>
      </c>
      <c r="M17" s="624" t="str">
        <f t="shared" si="3"/>
        <v/>
      </c>
      <c r="P17" s="792"/>
    </row>
    <row r="18" spans="1:16" ht="15.6" customHeight="1" thickTop="1" x14ac:dyDescent="0.25">
      <c r="A18" s="133"/>
      <c r="B18" s="133"/>
      <c r="C18" s="133"/>
      <c r="D18" s="580"/>
      <c r="E18" s="580">
        <f>SUM(E6:E17)</f>
        <v>0</v>
      </c>
      <c r="F18" s="581"/>
      <c r="I18" s="462"/>
      <c r="K18" s="590"/>
      <c r="L18" s="625">
        <f>SUM(L6:L17)</f>
        <v>759.60218089990815</v>
      </c>
      <c r="M18" s="625">
        <f>SUM(M6:M17)</f>
        <v>0</v>
      </c>
      <c r="N18" s="733"/>
      <c r="P18" s="792"/>
    </row>
    <row r="19" spans="1:16" ht="15.6" customHeight="1" thickBot="1" x14ac:dyDescent="0.3">
      <c r="A19" s="582"/>
      <c r="B19" s="582"/>
      <c r="C19" s="582"/>
      <c r="D19" s="582"/>
      <c r="E19" s="582"/>
      <c r="F19" s="582"/>
      <c r="G19" s="582"/>
      <c r="H19" s="583"/>
      <c r="I19" s="582"/>
      <c r="K19" s="650"/>
      <c r="L19" s="651"/>
      <c r="M19" s="652"/>
      <c r="P19" s="792"/>
    </row>
    <row r="20" spans="1:16" ht="16.350000000000001" customHeight="1" x14ac:dyDescent="0.25">
      <c r="A20" s="1618" t="s">
        <v>870</v>
      </c>
      <c r="B20" s="1619"/>
      <c r="C20" s="1619"/>
      <c r="D20" s="1619"/>
      <c r="E20" s="1619"/>
      <c r="F20" s="1619"/>
      <c r="G20" s="1619"/>
      <c r="H20" s="1619"/>
      <c r="I20" s="1619"/>
      <c r="K20" s="590"/>
      <c r="M20" s="591"/>
      <c r="P20" s="792"/>
    </row>
    <row r="21" spans="1:16" ht="16.350000000000001" customHeight="1" x14ac:dyDescent="0.25">
      <c r="A21" s="572">
        <v>2018</v>
      </c>
      <c r="B21" s="565" t="s">
        <v>886</v>
      </c>
      <c r="C21" s="447" t="s">
        <v>861</v>
      </c>
      <c r="D21" s="379"/>
      <c r="E21" s="379"/>
      <c r="F21" s="379" t="s">
        <v>858</v>
      </c>
      <c r="G21" s="379" t="s">
        <v>859</v>
      </c>
      <c r="H21" s="22" t="s">
        <v>869</v>
      </c>
      <c r="I21" s="379" t="s">
        <v>860</v>
      </c>
      <c r="K21" s="590"/>
      <c r="M21" s="591"/>
      <c r="P21" s="792"/>
    </row>
    <row r="22" spans="1:16" ht="16.350000000000001" customHeight="1" x14ac:dyDescent="0.25">
      <c r="A22" s="461"/>
      <c r="B22" s="565" t="s">
        <v>887</v>
      </c>
      <c r="C22" s="447" t="s">
        <v>863</v>
      </c>
      <c r="D22" s="379"/>
      <c r="E22" s="464"/>
      <c r="F22" s="379" t="s">
        <v>861</v>
      </c>
      <c r="G22" s="379" t="s">
        <v>861</v>
      </c>
      <c r="H22" s="578" t="s">
        <v>861</v>
      </c>
      <c r="I22" s="379" t="s">
        <v>868</v>
      </c>
      <c r="K22" s="1614" t="s">
        <v>892</v>
      </c>
      <c r="L22" s="1615"/>
      <c r="M22" s="1616"/>
      <c r="P22" s="792"/>
    </row>
    <row r="23" spans="1:16" ht="16.350000000000001" customHeight="1" thickBot="1" x14ac:dyDescent="0.3">
      <c r="A23" s="465" t="s">
        <v>862</v>
      </c>
      <c r="B23" s="571" t="s">
        <v>888</v>
      </c>
      <c r="C23" s="448" t="s">
        <v>890</v>
      </c>
      <c r="D23" s="465" t="s">
        <v>418</v>
      </c>
      <c r="E23" s="465" t="s">
        <v>869</v>
      </c>
      <c r="F23" s="466" t="s">
        <v>863</v>
      </c>
      <c r="G23" s="466" t="s">
        <v>866</v>
      </c>
      <c r="H23" s="466" t="s">
        <v>858</v>
      </c>
      <c r="I23" s="466" t="s">
        <v>864</v>
      </c>
      <c r="K23" s="650"/>
      <c r="L23" s="651"/>
      <c r="M23" s="652"/>
      <c r="P23" s="792"/>
    </row>
    <row r="24" spans="1:16" ht="16.350000000000001" customHeight="1" x14ac:dyDescent="0.25">
      <c r="A24" s="460"/>
      <c r="B24" s="462"/>
      <c r="C24" s="462"/>
      <c r="D24" s="460"/>
      <c r="E24" s="460"/>
      <c r="F24" s="595">
        <v>0</v>
      </c>
      <c r="G24" s="667">
        <f>'Prod Data'!M106</f>
        <v>957.2</v>
      </c>
      <c r="H24" s="574">
        <v>0</v>
      </c>
      <c r="I24" s="462"/>
      <c r="K24" s="586" t="s">
        <v>73</v>
      </c>
      <c r="L24" s="570" t="s">
        <v>418</v>
      </c>
      <c r="M24" s="587" t="s">
        <v>869</v>
      </c>
      <c r="P24" s="792"/>
    </row>
    <row r="25" spans="1:16" ht="16.350000000000001" customHeight="1" x14ac:dyDescent="0.25">
      <c r="A25" s="468" t="s">
        <v>54</v>
      </c>
      <c r="B25" s="237">
        <v>922600</v>
      </c>
      <c r="C25" s="569">
        <f>B25/'Prod Data'!$M$112</f>
        <v>21.179981634527088</v>
      </c>
      <c r="D25" s="406">
        <f t="shared" ref="D25:D32" si="12">IF($G$24-F24&gt;0,IF($G$24-F24&gt;C25,C25,$G$24-F24),0)</f>
        <v>21.179981634527088</v>
      </c>
      <c r="E25" s="569">
        <f>IF(C25-D25=0,0,C25-D25)</f>
        <v>0</v>
      </c>
      <c r="F25" s="681">
        <f>C25</f>
        <v>21.179981634527088</v>
      </c>
      <c r="G25" s="681">
        <f>IF($G$24-F25&gt;0,$G$24-F25,0)</f>
        <v>936.02001836547299</v>
      </c>
      <c r="H25" s="575">
        <f t="shared" ref="H25:H33" si="13">IF(G25&gt;0,0,C25-G24)+H24</f>
        <v>0</v>
      </c>
      <c r="I25" s="462"/>
      <c r="K25" s="588">
        <v>1</v>
      </c>
      <c r="L25" s="575" t="str">
        <f t="shared" ref="L25:L36" si="14">IF($L$1=$K25,D25,"")</f>
        <v/>
      </c>
      <c r="M25" s="622" t="str">
        <f t="shared" ref="M25:M36" si="15">IF($L$1=$K25,E25,"")</f>
        <v/>
      </c>
      <c r="P25" s="792"/>
    </row>
    <row r="26" spans="1:16" ht="16.350000000000001" customHeight="1" x14ac:dyDescent="0.25">
      <c r="A26" s="468" t="s">
        <v>55</v>
      </c>
      <c r="B26" s="573">
        <v>591700</v>
      </c>
      <c r="C26" s="569">
        <f>B26/'Prod Data'!$M$112</f>
        <v>13.58356290174472</v>
      </c>
      <c r="D26" s="406">
        <f t="shared" si="12"/>
        <v>13.58356290174472</v>
      </c>
      <c r="E26" s="569">
        <f t="shared" ref="E26:E33" si="16">IF(C26-D26=0,0,C26-D26)</f>
        <v>0</v>
      </c>
      <c r="F26" s="681">
        <f>F25+C26</f>
        <v>34.763544536271809</v>
      </c>
      <c r="G26" s="681">
        <f t="shared" ref="G26:G36" si="17">IF($G$24-F26&gt;0,$G$24-F26,0)</f>
        <v>922.43645546372818</v>
      </c>
      <c r="H26" s="575">
        <f t="shared" si="13"/>
        <v>0</v>
      </c>
      <c r="I26" s="462"/>
      <c r="K26" s="588">
        <v>2</v>
      </c>
      <c r="L26" s="575" t="str">
        <f t="shared" si="14"/>
        <v/>
      </c>
      <c r="M26" s="622" t="str">
        <f t="shared" si="15"/>
        <v/>
      </c>
      <c r="P26" s="792"/>
    </row>
    <row r="27" spans="1:16" ht="16.350000000000001" customHeight="1" x14ac:dyDescent="0.25">
      <c r="A27" s="468" t="s">
        <v>58</v>
      </c>
      <c r="B27" s="573">
        <v>803600</v>
      </c>
      <c r="C27" s="569">
        <f>B27/'Prod Data'!$M$112</f>
        <v>18.448117539026629</v>
      </c>
      <c r="D27" s="406">
        <f t="shared" si="12"/>
        <v>18.448117539026629</v>
      </c>
      <c r="E27" s="569">
        <f t="shared" si="16"/>
        <v>0</v>
      </c>
      <c r="F27" s="681">
        <f t="shared" ref="F27:F36" si="18">F26+C27</f>
        <v>53.211662075298435</v>
      </c>
      <c r="G27" s="681">
        <f>ROUND(IF($G$24-F27&gt;0,$G$24-F27,0),1)</f>
        <v>904</v>
      </c>
      <c r="H27" s="575">
        <f t="shared" si="13"/>
        <v>0</v>
      </c>
      <c r="I27" s="462"/>
      <c r="K27" s="588">
        <v>3</v>
      </c>
      <c r="L27" s="575" t="str">
        <f t="shared" si="14"/>
        <v/>
      </c>
      <c r="M27" s="622" t="str">
        <f t="shared" si="15"/>
        <v/>
      </c>
      <c r="P27" s="792"/>
    </row>
    <row r="28" spans="1:16" ht="16.350000000000001" customHeight="1" x14ac:dyDescent="0.25">
      <c r="A28" s="468" t="s">
        <v>61</v>
      </c>
      <c r="B28" s="573">
        <v>2370100</v>
      </c>
      <c r="C28" s="569">
        <f>B28/'Prod Data'!$M$112</f>
        <v>54.410009182736452</v>
      </c>
      <c r="D28" s="406">
        <f t="shared" si="12"/>
        <v>54.410009182736452</v>
      </c>
      <c r="E28" s="569">
        <f t="shared" si="16"/>
        <v>0</v>
      </c>
      <c r="F28" s="681">
        <f t="shared" si="18"/>
        <v>107.62167125803489</v>
      </c>
      <c r="G28" s="681">
        <f t="shared" si="17"/>
        <v>849.57832874196515</v>
      </c>
      <c r="H28" s="575">
        <f t="shared" si="13"/>
        <v>0</v>
      </c>
      <c r="I28" s="462"/>
      <c r="K28" s="588">
        <v>4</v>
      </c>
      <c r="L28" s="575" t="str">
        <f t="shared" si="14"/>
        <v/>
      </c>
      <c r="M28" s="622" t="str">
        <f t="shared" si="15"/>
        <v/>
      </c>
      <c r="P28" s="792"/>
    </row>
    <row r="29" spans="1:16" ht="16.350000000000001" customHeight="1" x14ac:dyDescent="0.25">
      <c r="A29" s="468" t="s">
        <v>63</v>
      </c>
      <c r="B29" s="573">
        <v>1542600</v>
      </c>
      <c r="C29" s="569">
        <f>B29/'Prod Data'!$M$112</f>
        <v>35.413223140495866</v>
      </c>
      <c r="D29" s="406">
        <f t="shared" si="12"/>
        <v>35.413223140495866</v>
      </c>
      <c r="E29" s="569">
        <f t="shared" si="16"/>
        <v>0</v>
      </c>
      <c r="F29" s="681">
        <f t="shared" si="18"/>
        <v>143.03489439853075</v>
      </c>
      <c r="G29" s="681">
        <f t="shared" si="17"/>
        <v>814.16510560146935</v>
      </c>
      <c r="H29" s="575">
        <f t="shared" si="13"/>
        <v>0</v>
      </c>
      <c r="I29" s="462"/>
      <c r="K29" s="588">
        <v>5</v>
      </c>
      <c r="L29" s="575" t="str">
        <f t="shared" si="14"/>
        <v/>
      </c>
      <c r="M29" s="622" t="str">
        <f t="shared" si="15"/>
        <v/>
      </c>
      <c r="P29" s="792"/>
    </row>
    <row r="30" spans="1:16" ht="16.350000000000001" customHeight="1" x14ac:dyDescent="0.25">
      <c r="A30" s="468" t="s">
        <v>65</v>
      </c>
      <c r="B30" s="573">
        <v>1962200</v>
      </c>
      <c r="C30" s="569">
        <f>B30/'Prod Data'!$M$112</f>
        <v>45.045913682277316</v>
      </c>
      <c r="D30" s="406">
        <f t="shared" si="12"/>
        <v>45.045913682277316</v>
      </c>
      <c r="E30" s="569">
        <f t="shared" si="16"/>
        <v>0</v>
      </c>
      <c r="F30" s="681">
        <f t="shared" si="18"/>
        <v>188.08080808080808</v>
      </c>
      <c r="G30" s="681">
        <f t="shared" ref="G30:G31" si="19">IF($G$24-F30&gt;0,$G$24-F30,0)</f>
        <v>769.11919191919196</v>
      </c>
      <c r="H30" s="575">
        <f t="shared" si="13"/>
        <v>0</v>
      </c>
      <c r="I30" s="462"/>
      <c r="K30" s="588">
        <v>6</v>
      </c>
      <c r="L30" s="575" t="str">
        <f t="shared" si="14"/>
        <v/>
      </c>
      <c r="M30" s="622" t="str">
        <f t="shared" si="15"/>
        <v/>
      </c>
      <c r="P30" s="792"/>
    </row>
    <row r="31" spans="1:16" ht="16.350000000000001" customHeight="1" x14ac:dyDescent="0.25">
      <c r="A31" s="468" t="s">
        <v>67</v>
      </c>
      <c r="B31" s="573">
        <v>2312682</v>
      </c>
      <c r="C31" s="569">
        <f>B31/'Prod Data'!$M$112</f>
        <v>53.091873278236918</v>
      </c>
      <c r="D31" s="406">
        <f t="shared" si="12"/>
        <v>53.091873278236918</v>
      </c>
      <c r="E31" s="569">
        <f t="shared" si="16"/>
        <v>0</v>
      </c>
      <c r="F31" s="681">
        <f t="shared" si="18"/>
        <v>241.17268135904499</v>
      </c>
      <c r="G31" s="681">
        <f t="shared" si="19"/>
        <v>716.02731864095506</v>
      </c>
      <c r="H31" s="575">
        <f t="shared" si="13"/>
        <v>0</v>
      </c>
      <c r="I31" s="462"/>
      <c r="K31" s="588">
        <v>7</v>
      </c>
      <c r="L31" s="575" t="str">
        <f t="shared" si="14"/>
        <v/>
      </c>
      <c r="M31" s="622" t="str">
        <f>IF($L$1=$K31,E31,"")</f>
        <v/>
      </c>
      <c r="P31" s="792"/>
    </row>
    <row r="32" spans="1:16" ht="16.350000000000001" customHeight="1" x14ac:dyDescent="0.25">
      <c r="A32" s="468" t="s">
        <v>62</v>
      </c>
      <c r="B32" s="573">
        <v>1520658</v>
      </c>
      <c r="C32" s="569">
        <f>B32/'Prod Data'!$M$112</f>
        <v>34.909504132231405</v>
      </c>
      <c r="D32" s="406">
        <f t="shared" si="12"/>
        <v>34.909504132231405</v>
      </c>
      <c r="E32" s="569">
        <f t="shared" si="16"/>
        <v>0</v>
      </c>
      <c r="F32" s="681">
        <f t="shared" si="18"/>
        <v>276.08218549127639</v>
      </c>
      <c r="G32" s="681">
        <f t="shared" si="17"/>
        <v>681.11781450872365</v>
      </c>
      <c r="H32" s="575">
        <f t="shared" si="13"/>
        <v>0</v>
      </c>
      <c r="I32" s="462"/>
      <c r="K32" s="588">
        <v>8</v>
      </c>
      <c r="L32" s="575" t="str">
        <f t="shared" si="14"/>
        <v/>
      </c>
      <c r="M32" s="622" t="str">
        <f t="shared" si="15"/>
        <v/>
      </c>
      <c r="P32" s="792"/>
    </row>
    <row r="33" spans="1:16" ht="16.350000000000001" customHeight="1" x14ac:dyDescent="0.25">
      <c r="A33" s="468" t="s">
        <v>79</v>
      </c>
      <c r="B33" s="573">
        <v>245000</v>
      </c>
      <c r="C33" s="569">
        <f>B33/'Prod Data'!$M$112</f>
        <v>5.6244260789715339</v>
      </c>
      <c r="D33" s="406">
        <f>IF($G$24-F32&gt;0,IF($G$24-F32&gt;C33,C33,$G$24-F32),0)</f>
        <v>5.6244260789715339</v>
      </c>
      <c r="E33" s="569">
        <f t="shared" si="16"/>
        <v>0</v>
      </c>
      <c r="F33" s="681">
        <f t="shared" si="18"/>
        <v>281.7066115702479</v>
      </c>
      <c r="G33" s="681">
        <f t="shared" si="17"/>
        <v>675.49338842975214</v>
      </c>
      <c r="H33" s="575">
        <f t="shared" si="13"/>
        <v>0</v>
      </c>
      <c r="I33" s="462"/>
      <c r="K33" s="588">
        <v>9</v>
      </c>
      <c r="L33" s="575">
        <f t="shared" si="14"/>
        <v>5.6244260789715339</v>
      </c>
      <c r="M33" s="622">
        <f t="shared" si="15"/>
        <v>0</v>
      </c>
      <c r="N33" s="733"/>
      <c r="P33" s="792"/>
    </row>
    <row r="34" spans="1:16" ht="16.350000000000001" customHeight="1" x14ac:dyDescent="0.25">
      <c r="A34" s="468" t="s">
        <v>66</v>
      </c>
      <c r="B34" s="237"/>
      <c r="C34" s="569">
        <f>B34/'Prod Data'!$M$112</f>
        <v>0</v>
      </c>
      <c r="D34" s="406">
        <f>IF($G$24-F33&gt;0,IF($G$24-F33&gt;C34,C34,$G$24-F33),0)</f>
        <v>0</v>
      </c>
      <c r="E34" s="569">
        <f>IF(C34-D34=0,0,C34-D34)</f>
        <v>0</v>
      </c>
      <c r="F34" s="681">
        <f t="shared" si="18"/>
        <v>281.7066115702479</v>
      </c>
      <c r="G34" s="681">
        <f t="shared" si="17"/>
        <v>675.49338842975214</v>
      </c>
      <c r="H34" s="575">
        <f>IF(G34&gt;0,0,C34-G33)+H33</f>
        <v>0</v>
      </c>
      <c r="I34" s="462"/>
      <c r="K34" s="588">
        <v>10</v>
      </c>
      <c r="L34" s="575" t="str">
        <f t="shared" si="14"/>
        <v/>
      </c>
      <c r="M34" s="622" t="str">
        <f t="shared" si="15"/>
        <v/>
      </c>
      <c r="P34" s="792"/>
    </row>
    <row r="35" spans="1:16" ht="16.350000000000001" customHeight="1" x14ac:dyDescent="0.25">
      <c r="A35" s="468" t="s">
        <v>56</v>
      </c>
      <c r="B35" s="573"/>
      <c r="C35" s="569">
        <f>B35/'Prod Data'!$M$112</f>
        <v>0</v>
      </c>
      <c r="D35" s="406">
        <f>IF($G$24-F34&gt;0,IF($G$24-F34&gt;C35,C35,$G$24-F34),0)</f>
        <v>0</v>
      </c>
      <c r="E35" s="569">
        <f>IF(C35-D35=0,0,C35-D35)</f>
        <v>0</v>
      </c>
      <c r="F35" s="681">
        <f t="shared" si="18"/>
        <v>281.7066115702479</v>
      </c>
      <c r="G35" s="681">
        <f t="shared" si="17"/>
        <v>675.49338842975214</v>
      </c>
      <c r="H35" s="575">
        <f>IF(G35&gt;0,0,C35-G34)+H34</f>
        <v>0</v>
      </c>
      <c r="I35" s="462"/>
      <c r="K35" s="588">
        <v>11</v>
      </c>
      <c r="L35" s="575" t="str">
        <f t="shared" si="14"/>
        <v/>
      </c>
      <c r="M35" s="622" t="str">
        <f t="shared" si="15"/>
        <v/>
      </c>
      <c r="P35" s="792"/>
    </row>
    <row r="36" spans="1:16" ht="16.350000000000001" customHeight="1" thickBot="1" x14ac:dyDescent="0.3">
      <c r="A36" s="468" t="s">
        <v>59</v>
      </c>
      <c r="B36" s="573"/>
      <c r="C36" s="569">
        <f>B36/'Prod Data'!$M$112</f>
        <v>0</v>
      </c>
      <c r="D36" s="406">
        <f>IF($G$24-F35&gt;0,IF($G$24-F35&gt;C36,C36,$G$24-F35),0)</f>
        <v>0</v>
      </c>
      <c r="E36" s="1331">
        <f>IF(C36-D36=0,0,C36-D36)</f>
        <v>0</v>
      </c>
      <c r="F36" s="681">
        <f t="shared" si="18"/>
        <v>281.7066115702479</v>
      </c>
      <c r="G36" s="681">
        <f t="shared" si="17"/>
        <v>675.49338842975214</v>
      </c>
      <c r="H36" s="575">
        <f>IF(G36&gt;0,0,C36-G35)+H35</f>
        <v>0</v>
      </c>
      <c r="I36" s="462"/>
      <c r="K36" s="589">
        <v>12</v>
      </c>
      <c r="L36" s="575" t="str">
        <f t="shared" si="14"/>
        <v/>
      </c>
      <c r="M36" s="624" t="str">
        <f t="shared" si="15"/>
        <v/>
      </c>
      <c r="P36" s="792"/>
    </row>
    <row r="37" spans="1:16" ht="16.350000000000001" customHeight="1" thickTop="1" x14ac:dyDescent="0.25">
      <c r="A37" s="133"/>
      <c r="B37" s="133"/>
      <c r="C37" s="133"/>
      <c r="D37" s="580"/>
      <c r="E37" s="681">
        <f>SUM(E25:E36)</f>
        <v>0</v>
      </c>
      <c r="F37" s="581"/>
      <c r="I37" s="462"/>
      <c r="K37" s="590"/>
      <c r="L37" s="625">
        <f>SUM(L25:L36)</f>
        <v>5.6244260789715339</v>
      </c>
      <c r="M37" s="625">
        <f>ROUND(SUM(M25:M36),5)</f>
        <v>0</v>
      </c>
      <c r="N37" s="733"/>
      <c r="P37" s="792"/>
    </row>
    <row r="38" spans="1:16" ht="16.350000000000001" customHeight="1" thickBot="1" x14ac:dyDescent="0.25">
      <c r="A38" s="582"/>
      <c r="B38" s="582"/>
      <c r="C38" s="582"/>
      <c r="D38" s="582"/>
      <c r="E38" s="582"/>
      <c r="F38" s="582"/>
      <c r="G38" s="582"/>
      <c r="H38" s="582"/>
      <c r="I38" s="582"/>
      <c r="K38" s="650"/>
      <c r="L38" s="651"/>
      <c r="M38" s="652"/>
      <c r="P38" s="792"/>
    </row>
    <row r="39" spans="1:16" ht="16.350000000000001" customHeight="1" x14ac:dyDescent="0.25">
      <c r="A39" s="1618" t="s">
        <v>889</v>
      </c>
      <c r="B39" s="1618"/>
      <c r="C39" s="1618"/>
      <c r="D39" s="1618"/>
      <c r="E39" s="1618"/>
      <c r="F39" s="1618"/>
      <c r="G39" s="1618"/>
      <c r="H39" s="1618"/>
      <c r="I39" s="1618"/>
      <c r="K39" s="590"/>
      <c r="M39" s="591"/>
      <c r="P39" s="792"/>
    </row>
    <row r="40" spans="1:16" ht="16.350000000000001" customHeight="1" x14ac:dyDescent="0.25">
      <c r="A40" s="572">
        <v>2018</v>
      </c>
      <c r="B40" s="565" t="s">
        <v>886</v>
      </c>
      <c r="C40" s="447" t="s">
        <v>861</v>
      </c>
      <c r="D40" s="379"/>
      <c r="E40" s="467"/>
      <c r="F40" s="379" t="s">
        <v>858</v>
      </c>
      <c r="G40" s="379" t="s">
        <v>859</v>
      </c>
      <c r="H40" s="22" t="s">
        <v>869</v>
      </c>
      <c r="I40" s="379" t="s">
        <v>860</v>
      </c>
      <c r="K40" s="590"/>
      <c r="M40" s="591"/>
      <c r="P40" s="792"/>
    </row>
    <row r="41" spans="1:16" ht="16.350000000000001" customHeight="1" x14ac:dyDescent="0.25">
      <c r="A41" s="461"/>
      <c r="B41" s="565" t="s">
        <v>887</v>
      </c>
      <c r="C41" s="447" t="s">
        <v>863</v>
      </c>
      <c r="D41" s="379"/>
      <c r="E41" s="467"/>
      <c r="F41" s="379" t="s">
        <v>861</v>
      </c>
      <c r="G41" s="379" t="s">
        <v>861</v>
      </c>
      <c r="H41" s="578" t="s">
        <v>861</v>
      </c>
      <c r="I41" s="379" t="s">
        <v>865</v>
      </c>
      <c r="K41" s="1614" t="s">
        <v>892</v>
      </c>
      <c r="L41" s="1615"/>
      <c r="M41" s="1616"/>
      <c r="P41" s="792"/>
    </row>
    <row r="42" spans="1:16" ht="16.350000000000001" customHeight="1" thickBot="1" x14ac:dyDescent="0.3">
      <c r="A42" s="465" t="s">
        <v>862</v>
      </c>
      <c r="B42" s="571" t="s">
        <v>888</v>
      </c>
      <c r="C42" s="448" t="s">
        <v>890</v>
      </c>
      <c r="D42" s="465" t="s">
        <v>418</v>
      </c>
      <c r="E42" s="576" t="s">
        <v>869</v>
      </c>
      <c r="F42" s="466" t="s">
        <v>863</v>
      </c>
      <c r="G42" s="466" t="s">
        <v>866</v>
      </c>
      <c r="H42" s="466" t="s">
        <v>858</v>
      </c>
      <c r="I42" s="466" t="s">
        <v>864</v>
      </c>
      <c r="K42" s="650"/>
      <c r="L42" s="651"/>
      <c r="M42" s="652"/>
      <c r="P42" s="792"/>
    </row>
    <row r="43" spans="1:16" ht="16.350000000000001" customHeight="1" x14ac:dyDescent="0.25">
      <c r="A43" s="460"/>
      <c r="B43" s="462"/>
      <c r="C43" s="462"/>
      <c r="D43" s="460"/>
      <c r="E43" s="463"/>
      <c r="F43" s="595">
        <v>0</v>
      </c>
      <c r="G43" s="667">
        <f>'Prod Data'!M107</f>
        <v>1424.1</v>
      </c>
      <c r="H43" s="451">
        <v>0</v>
      </c>
      <c r="I43" s="462"/>
      <c r="K43" s="586" t="s">
        <v>73</v>
      </c>
      <c r="L43" s="570" t="s">
        <v>418</v>
      </c>
      <c r="M43" s="587" t="s">
        <v>869</v>
      </c>
      <c r="P43" s="792"/>
    </row>
    <row r="44" spans="1:16" ht="16.350000000000001" customHeight="1" x14ac:dyDescent="0.25">
      <c r="A44" s="468" t="s">
        <v>54</v>
      </c>
      <c r="B44" s="794">
        <v>2097600</v>
      </c>
      <c r="C44" s="569">
        <f>B44/'Prod Data'!$M$112</f>
        <v>48.154269972451793</v>
      </c>
      <c r="D44" s="406">
        <f t="shared" ref="D44:D49" si="20">IF($G$43-F43&gt;0,IF($G$43-F43&gt;C44,C44,$G$43-F43),0)</f>
        <v>48.154269972451793</v>
      </c>
      <c r="E44" s="575">
        <f>IF(C44-D44=0,0,C44-D44)</f>
        <v>0</v>
      </c>
      <c r="F44" s="681">
        <f>C44</f>
        <v>48.154269972451793</v>
      </c>
      <c r="G44" s="667">
        <f>IF($G$43-F44&gt;0,$G$43-F44,0)</f>
        <v>1375.9457300275481</v>
      </c>
      <c r="H44" s="575">
        <f t="shared" ref="H44:H51" si="21">IF(G44&gt;0,0,C44-G43)+H43</f>
        <v>0</v>
      </c>
      <c r="I44" s="577"/>
      <c r="K44" s="588">
        <v>1</v>
      </c>
      <c r="L44" s="575" t="str">
        <f t="shared" ref="L44:L55" si="22">IF($L$1=$K44,D44,"")</f>
        <v/>
      </c>
      <c r="M44" s="622" t="str">
        <f t="shared" ref="M44:M55" si="23">IF($L$1=$K44,E44,"")</f>
        <v/>
      </c>
      <c r="P44" s="792"/>
    </row>
    <row r="45" spans="1:16" ht="16.350000000000001" customHeight="1" x14ac:dyDescent="0.25">
      <c r="A45" s="468" t="s">
        <v>55</v>
      </c>
      <c r="B45" s="573">
        <v>1070000</v>
      </c>
      <c r="C45" s="569">
        <f>B45/'Prod Data'!$M$112</f>
        <v>24.563820018365472</v>
      </c>
      <c r="D45" s="406">
        <f t="shared" si="20"/>
        <v>24.563820018365472</v>
      </c>
      <c r="E45" s="575">
        <f t="shared" ref="E45:E51" si="24">IF(C45-D45=0,0,C45-D45)</f>
        <v>0</v>
      </c>
      <c r="F45" s="681">
        <f>C45+F44</f>
        <v>72.718089990817262</v>
      </c>
      <c r="G45" s="667">
        <f t="shared" ref="G45:G55" si="25">IF($G$43-F45&gt;0,$G$43-F45,0)</f>
        <v>1351.3819100091825</v>
      </c>
      <c r="H45" s="575">
        <f t="shared" si="21"/>
        <v>0</v>
      </c>
      <c r="I45" s="577"/>
      <c r="K45" s="588">
        <v>2</v>
      </c>
      <c r="L45" s="575" t="str">
        <f t="shared" si="22"/>
        <v/>
      </c>
      <c r="M45" s="622" t="str">
        <f t="shared" si="23"/>
        <v/>
      </c>
      <c r="P45" s="792"/>
    </row>
    <row r="46" spans="1:16" ht="16.350000000000001" customHeight="1" x14ac:dyDescent="0.25">
      <c r="A46" s="468" t="s">
        <v>58</v>
      </c>
      <c r="B46" s="573">
        <v>2644500</v>
      </c>
      <c r="C46" s="569">
        <f>B46/'Prod Data'!$M$112</f>
        <v>60.709366391184574</v>
      </c>
      <c r="D46" s="406">
        <f t="shared" si="20"/>
        <v>60.709366391184574</v>
      </c>
      <c r="E46" s="575">
        <f t="shared" si="24"/>
        <v>0</v>
      </c>
      <c r="F46" s="681">
        <f>C46+F45</f>
        <v>133.42745638200182</v>
      </c>
      <c r="G46" s="667">
        <f t="shared" ref="G46" si="26">IF($G$43-F46&gt;0,$G$43-F46,0)</f>
        <v>1290.6725436179981</v>
      </c>
      <c r="H46" s="575">
        <f t="shared" si="21"/>
        <v>0</v>
      </c>
      <c r="I46" s="577"/>
      <c r="K46" s="588">
        <v>3</v>
      </c>
      <c r="L46" s="575" t="str">
        <f t="shared" si="22"/>
        <v/>
      </c>
      <c r="M46" s="622" t="str">
        <f t="shared" si="23"/>
        <v/>
      </c>
      <c r="P46" s="792"/>
    </row>
    <row r="47" spans="1:16" ht="16.350000000000001" customHeight="1" x14ac:dyDescent="0.25">
      <c r="A47" s="468" t="s">
        <v>61</v>
      </c>
      <c r="B47" s="573">
        <v>5816400</v>
      </c>
      <c r="C47" s="569">
        <f>B47/'Prod Data'!$M$112</f>
        <v>133.52617079889808</v>
      </c>
      <c r="D47" s="406">
        <f t="shared" si="20"/>
        <v>133.52617079889808</v>
      </c>
      <c r="E47" s="575">
        <f t="shared" si="24"/>
        <v>0</v>
      </c>
      <c r="F47" s="681">
        <f t="shared" ref="F47:F52" si="27">C47+F46</f>
        <v>266.9536271808999</v>
      </c>
      <c r="G47" s="667">
        <f t="shared" si="25"/>
        <v>1157.1463728191</v>
      </c>
      <c r="H47" s="575">
        <f t="shared" si="21"/>
        <v>0</v>
      </c>
      <c r="I47" s="577"/>
      <c r="K47" s="588">
        <v>4</v>
      </c>
      <c r="L47" s="575" t="str">
        <f t="shared" si="22"/>
        <v/>
      </c>
      <c r="M47" s="622" t="str">
        <f t="shared" si="23"/>
        <v/>
      </c>
      <c r="P47" s="792"/>
    </row>
    <row r="48" spans="1:16" ht="16.350000000000001" customHeight="1" x14ac:dyDescent="0.25">
      <c r="A48" s="468" t="s">
        <v>63</v>
      </c>
      <c r="B48" s="573">
        <v>5553800</v>
      </c>
      <c r="C48" s="569">
        <f>B48/'Prod Data'!$M$112</f>
        <v>127.49770431588614</v>
      </c>
      <c r="D48" s="406">
        <f t="shared" si="20"/>
        <v>127.49770431588614</v>
      </c>
      <c r="E48" s="575">
        <f t="shared" si="24"/>
        <v>0</v>
      </c>
      <c r="F48" s="681">
        <f t="shared" si="27"/>
        <v>394.45133149678605</v>
      </c>
      <c r="G48" s="667">
        <f t="shared" si="25"/>
        <v>1029.6486685032139</v>
      </c>
      <c r="H48" s="575">
        <f t="shared" si="21"/>
        <v>0</v>
      </c>
      <c r="I48" s="577"/>
      <c r="K48" s="588">
        <v>5</v>
      </c>
      <c r="L48" s="622" t="str">
        <f t="shared" si="22"/>
        <v/>
      </c>
      <c r="M48" s="622" t="str">
        <f t="shared" si="23"/>
        <v/>
      </c>
      <c r="P48" s="792"/>
    </row>
    <row r="49" spans="1:22" ht="16.350000000000001" customHeight="1" x14ac:dyDescent="0.25">
      <c r="A49" s="468" t="s">
        <v>65</v>
      </c>
      <c r="B49" s="573">
        <v>7569300</v>
      </c>
      <c r="C49" s="569">
        <f>B49/'Prod Data'!$M$112</f>
        <v>173.76721763085399</v>
      </c>
      <c r="D49" s="406">
        <f t="shared" si="20"/>
        <v>173.76721763085399</v>
      </c>
      <c r="E49" s="575">
        <f t="shared" si="24"/>
        <v>0</v>
      </c>
      <c r="F49" s="681">
        <f t="shared" ref="F49:F50" si="28">C49+F48</f>
        <v>568.21854912764002</v>
      </c>
      <c r="G49" s="667">
        <f t="shared" ref="G49:G50" si="29">IF($G$43-F49&gt;0,$G$43-F49,0)</f>
        <v>855.88145087235989</v>
      </c>
      <c r="H49" s="575">
        <f t="shared" si="21"/>
        <v>0</v>
      </c>
      <c r="I49" s="577"/>
      <c r="K49" s="588">
        <v>6</v>
      </c>
      <c r="L49" s="622" t="str">
        <f t="shared" si="22"/>
        <v/>
      </c>
      <c r="M49" s="622" t="str">
        <f t="shared" si="23"/>
        <v/>
      </c>
      <c r="P49" s="792"/>
    </row>
    <row r="50" spans="1:22" ht="16.350000000000001" customHeight="1" x14ac:dyDescent="0.25">
      <c r="A50" s="468" t="s">
        <v>67</v>
      </c>
      <c r="B50" s="573">
        <v>9177100</v>
      </c>
      <c r="C50" s="569">
        <f>B50/'Prod Data'!$M$112</f>
        <v>210.67722681359044</v>
      </c>
      <c r="D50" s="406">
        <f t="shared" ref="D50:D54" si="30">IF($G$43-F49&gt;0,IF($G$43-F49&gt;C50,C50,$G$43-F49),0)</f>
        <v>210.67722681359044</v>
      </c>
      <c r="E50" s="575">
        <f t="shared" si="24"/>
        <v>0</v>
      </c>
      <c r="F50" s="681">
        <f t="shared" si="28"/>
        <v>778.89577594123045</v>
      </c>
      <c r="G50" s="667">
        <f t="shared" si="29"/>
        <v>645.20422405876946</v>
      </c>
      <c r="H50" s="575">
        <f t="shared" si="21"/>
        <v>0</v>
      </c>
      <c r="I50" s="577"/>
      <c r="K50" s="588">
        <v>7</v>
      </c>
      <c r="L50" s="622" t="str">
        <f t="shared" si="22"/>
        <v/>
      </c>
      <c r="M50" s="622" t="str">
        <f t="shared" si="23"/>
        <v/>
      </c>
      <c r="P50" s="792"/>
    </row>
    <row r="51" spans="1:22" ht="16.350000000000001" customHeight="1" x14ac:dyDescent="0.25">
      <c r="A51" s="468" t="s">
        <v>62</v>
      </c>
      <c r="B51" s="573">
        <v>9265900</v>
      </c>
      <c r="C51" s="569">
        <f>B51/'Prod Data'!$M$112</f>
        <v>212.7157943067034</v>
      </c>
      <c r="D51" s="406">
        <f t="shared" si="30"/>
        <v>212.7157943067034</v>
      </c>
      <c r="E51" s="575">
        <f t="shared" si="24"/>
        <v>0</v>
      </c>
      <c r="F51" s="681">
        <f t="shared" si="27"/>
        <v>991.61157024793386</v>
      </c>
      <c r="G51" s="667">
        <f t="shared" si="25"/>
        <v>432.48842975206605</v>
      </c>
      <c r="H51" s="575">
        <f t="shared" si="21"/>
        <v>0</v>
      </c>
      <c r="I51" s="577"/>
      <c r="K51" s="588">
        <v>8</v>
      </c>
      <c r="L51" s="622" t="str">
        <f t="shared" si="22"/>
        <v/>
      </c>
      <c r="M51" s="622" t="str">
        <f t="shared" si="23"/>
        <v/>
      </c>
      <c r="P51" s="792"/>
    </row>
    <row r="52" spans="1:22" ht="16.350000000000001" customHeight="1" x14ac:dyDescent="0.25">
      <c r="A52" s="468" t="s">
        <v>79</v>
      </c>
      <c r="B52" s="573">
        <v>8293500</v>
      </c>
      <c r="C52" s="569">
        <f>B52/'Prod Data'!$M$112</f>
        <v>190.39256198347107</v>
      </c>
      <c r="D52" s="406">
        <f t="shared" si="30"/>
        <v>190.39256198347107</v>
      </c>
      <c r="E52" s="575">
        <v>0</v>
      </c>
      <c r="F52" s="681">
        <f t="shared" si="27"/>
        <v>1182.004132231405</v>
      </c>
      <c r="G52" s="667">
        <f t="shared" si="25"/>
        <v>242.09586776859487</v>
      </c>
      <c r="H52" s="575">
        <v>0</v>
      </c>
      <c r="I52" s="577"/>
      <c r="K52" s="588">
        <v>9</v>
      </c>
      <c r="L52" s="622">
        <f t="shared" si="22"/>
        <v>190.39256198347107</v>
      </c>
      <c r="M52" s="622">
        <v>0</v>
      </c>
      <c r="P52" s="792"/>
    </row>
    <row r="53" spans="1:22" ht="16.350000000000001" customHeight="1" x14ac:dyDescent="0.25">
      <c r="A53" s="468" t="s">
        <v>66</v>
      </c>
      <c r="B53" s="573"/>
      <c r="C53" s="566">
        <f>B53/'Prod Data'!$M$112</f>
        <v>0</v>
      </c>
      <c r="D53" s="406">
        <f t="shared" si="30"/>
        <v>0</v>
      </c>
      <c r="E53" s="575">
        <f>IF(C53-D53=0,0,C53-D53)</f>
        <v>0</v>
      </c>
      <c r="F53" s="681">
        <f>C53+F52</f>
        <v>1182.004132231405</v>
      </c>
      <c r="G53" s="667">
        <f t="shared" si="25"/>
        <v>242.09586776859487</v>
      </c>
      <c r="H53" s="575">
        <f>IF(G53&gt;0,0,C53-G52)+H52</f>
        <v>0</v>
      </c>
      <c r="I53" s="577"/>
      <c r="K53" s="588">
        <v>10</v>
      </c>
      <c r="L53" s="1542"/>
      <c r="M53" s="1542"/>
      <c r="N53" s="1543"/>
      <c r="O53" s="792"/>
      <c r="P53" s="792"/>
      <c r="Q53" s="792"/>
      <c r="R53" s="792"/>
      <c r="S53" s="792"/>
      <c r="T53" s="792"/>
      <c r="U53"/>
      <c r="V53"/>
    </row>
    <row r="54" spans="1:22" ht="16.350000000000001" customHeight="1" x14ac:dyDescent="0.25">
      <c r="A54" s="468" t="s">
        <v>56</v>
      </c>
      <c r="B54" s="573"/>
      <c r="C54" s="566">
        <f>B54/'Prod Data'!$M$112</f>
        <v>0</v>
      </c>
      <c r="D54" s="406">
        <f t="shared" si="30"/>
        <v>0</v>
      </c>
      <c r="E54" s="575">
        <f>IF(C54-D54=0,0,C54-D54)</f>
        <v>0</v>
      </c>
      <c r="F54" s="681">
        <f>C54+F53</f>
        <v>1182.004132231405</v>
      </c>
      <c r="G54" s="667">
        <f t="shared" si="25"/>
        <v>242.09586776859487</v>
      </c>
      <c r="H54" s="575">
        <f>IF(G54&gt;0,0,C54-G53)+H53</f>
        <v>0</v>
      </c>
      <c r="I54" s="577"/>
      <c r="K54" s="588">
        <v>11</v>
      </c>
      <c r="L54" s="622" t="str">
        <f t="shared" si="22"/>
        <v/>
      </c>
      <c r="M54" s="622" t="str">
        <f t="shared" si="23"/>
        <v/>
      </c>
      <c r="O54" s="454" t="s">
        <v>993</v>
      </c>
      <c r="P54" s="792"/>
    </row>
    <row r="55" spans="1:22" ht="16.350000000000001" customHeight="1" x14ac:dyDescent="0.25">
      <c r="A55" s="468" t="s">
        <v>59</v>
      </c>
      <c r="B55" s="573"/>
      <c r="C55" s="566">
        <f>B55/'Prod Data'!$M$112</f>
        <v>0</v>
      </c>
      <c r="D55" s="1514">
        <v>0</v>
      </c>
      <c r="E55" s="575">
        <f>IF(C55-D55=0,0,C55-D55)</f>
        <v>0</v>
      </c>
      <c r="F55" s="681">
        <f>C55+F54</f>
        <v>1182.004132231405</v>
      </c>
      <c r="G55" s="667">
        <f t="shared" si="25"/>
        <v>242.09586776859487</v>
      </c>
      <c r="H55" s="575">
        <f>IF(G55&gt;0,0,C55-G54)+H54</f>
        <v>0</v>
      </c>
      <c r="I55" s="577"/>
      <c r="K55" s="589">
        <v>12</v>
      </c>
      <c r="L55" s="623" t="str">
        <f t="shared" si="22"/>
        <v/>
      </c>
      <c r="M55" s="624" t="str">
        <f t="shared" si="23"/>
        <v/>
      </c>
      <c r="P55" s="792"/>
    </row>
    <row r="56" spans="1:22" ht="16.350000000000001" customHeight="1" x14ac:dyDescent="0.25">
      <c r="A56" s="2"/>
      <c r="B56" s="2"/>
      <c r="C56" s="2"/>
      <c r="D56" s="580"/>
      <c r="E56" s="580"/>
      <c r="F56" s="581"/>
      <c r="I56" s="462"/>
      <c r="K56" s="730"/>
      <c r="L56" s="731">
        <f>SUM(L44:L55)</f>
        <v>190.39256198347107</v>
      </c>
      <c r="M56" s="732">
        <f>SUM(M44:M55)</f>
        <v>0</v>
      </c>
      <c r="P56" s="792"/>
    </row>
    <row r="57" spans="1:22" ht="16.350000000000001" customHeight="1" x14ac:dyDescent="0.2">
      <c r="A57" s="2"/>
      <c r="B57" s="2"/>
      <c r="C57" s="2"/>
      <c r="D57" s="2"/>
      <c r="E57" s="2"/>
      <c r="F57" s="2"/>
      <c r="G57" s="2"/>
      <c r="H57" s="2"/>
      <c r="I57" s="2"/>
      <c r="K57" s="592"/>
      <c r="L57" s="593"/>
      <c r="M57" s="594"/>
      <c r="P57" s="792"/>
    </row>
    <row r="58" spans="1:22" ht="16.35000000000000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P58" s="792"/>
    </row>
    <row r="59" spans="1:22" ht="16.350000000000001" customHeight="1" x14ac:dyDescent="0.2">
      <c r="A59" s="2"/>
      <c r="B59" s="2"/>
      <c r="C59" s="2"/>
      <c r="D59" s="2"/>
      <c r="E59" s="2"/>
      <c r="F59" s="453"/>
      <c r="G59" s="2"/>
      <c r="H59" s="2"/>
      <c r="I59" s="2"/>
      <c r="P59" s="792"/>
    </row>
    <row r="60" spans="1:22" ht="16.350000000000001" customHeight="1" x14ac:dyDescent="0.2">
      <c r="A60" s="2"/>
      <c r="B60" s="2"/>
      <c r="C60" s="2"/>
      <c r="D60" s="2"/>
      <c r="E60" s="2"/>
      <c r="F60" s="2"/>
      <c r="G60" s="2"/>
      <c r="H60" s="2"/>
      <c r="I60" s="2"/>
      <c r="P60" s="792"/>
    </row>
    <row r="61" spans="1:22" ht="16.350000000000001" customHeight="1" x14ac:dyDescent="0.2">
      <c r="A61" s="2"/>
      <c r="B61" s="2"/>
      <c r="C61" s="2"/>
      <c r="D61" s="2"/>
      <c r="E61" s="2"/>
      <c r="F61" s="2"/>
      <c r="G61" s="2"/>
      <c r="H61" s="2"/>
      <c r="I61" s="2"/>
    </row>
    <row r="62" spans="1:22" ht="16.350000000000001" customHeight="1" x14ac:dyDescent="0.2">
      <c r="A62" s="2"/>
      <c r="B62" s="2"/>
      <c r="C62" s="2"/>
      <c r="D62" s="2"/>
      <c r="E62" s="2"/>
      <c r="F62" s="2"/>
      <c r="G62" s="2"/>
      <c r="H62" s="2"/>
      <c r="I62" s="2"/>
    </row>
    <row r="63" spans="1:22" ht="16.350000000000001" customHeight="1" x14ac:dyDescent="0.2">
      <c r="A63" s="2"/>
      <c r="B63" s="2"/>
      <c r="C63" s="2"/>
      <c r="D63" s="2"/>
      <c r="E63" s="2"/>
      <c r="F63" s="2"/>
      <c r="G63" s="2"/>
      <c r="H63" s="2"/>
      <c r="I63" s="2"/>
    </row>
    <row r="64" spans="1:22" ht="16.350000000000001" customHeight="1" x14ac:dyDescent="0.2">
      <c r="A64" s="2"/>
      <c r="B64" s="2"/>
      <c r="C64" s="2"/>
      <c r="D64" s="2"/>
      <c r="E64" s="2"/>
      <c r="F64" s="2"/>
      <c r="G64" s="2"/>
      <c r="H64" s="2"/>
      <c r="I64" s="2"/>
    </row>
    <row r="65" spans="1:9" ht="16.350000000000001" customHeight="1" x14ac:dyDescent="0.2">
      <c r="A65" s="2"/>
      <c r="B65" s="2"/>
      <c r="C65" s="2"/>
      <c r="D65" s="2"/>
      <c r="E65" s="2"/>
      <c r="F65" s="2"/>
      <c r="G65" s="2"/>
      <c r="H65" s="2"/>
      <c r="I65" s="2"/>
    </row>
    <row r="66" spans="1:9" ht="16.350000000000001" customHeight="1" x14ac:dyDescent="0.2">
      <c r="A66" s="2"/>
      <c r="B66" s="2"/>
      <c r="C66" s="2"/>
      <c r="D66" s="2"/>
      <c r="E66" s="2"/>
      <c r="F66" s="2"/>
      <c r="G66" s="2"/>
      <c r="H66" s="2"/>
      <c r="I66" s="2"/>
    </row>
    <row r="67" spans="1:9" ht="16.350000000000001" customHeight="1" x14ac:dyDescent="0.2">
      <c r="A67" s="2"/>
      <c r="B67" s="2"/>
      <c r="C67" s="2"/>
      <c r="D67" s="2"/>
      <c r="E67" s="2"/>
      <c r="F67" s="2"/>
      <c r="G67" s="2"/>
      <c r="H67" s="2"/>
      <c r="I67" s="2"/>
    </row>
    <row r="68" spans="1:9" ht="16.350000000000001" customHeight="1" x14ac:dyDescent="0.2">
      <c r="A68" s="2"/>
      <c r="B68" s="2"/>
      <c r="C68" s="2"/>
      <c r="D68" s="2"/>
      <c r="E68" s="2"/>
      <c r="F68" s="2"/>
      <c r="G68" s="2"/>
      <c r="H68" s="2"/>
      <c r="I68" s="2"/>
    </row>
    <row r="69" spans="1:9" ht="16.350000000000001" customHeight="1" x14ac:dyDescent="0.2">
      <c r="A69" s="2"/>
      <c r="B69" s="2"/>
      <c r="C69" s="2"/>
      <c r="D69" s="2"/>
      <c r="E69" s="2"/>
      <c r="F69" s="2"/>
      <c r="G69" s="2"/>
      <c r="H69" s="2"/>
      <c r="I69" s="2"/>
    </row>
    <row r="70" spans="1:9" ht="16.350000000000001" customHeight="1" x14ac:dyDescent="0.2">
      <c r="A70" s="2"/>
      <c r="B70" s="2"/>
      <c r="C70" s="2"/>
      <c r="D70" s="2"/>
      <c r="E70" s="2"/>
      <c r="F70" s="2"/>
      <c r="G70" s="2"/>
      <c r="H70" s="2"/>
      <c r="I70" s="2"/>
    </row>
    <row r="71" spans="1:9" ht="16.350000000000001" customHeight="1" x14ac:dyDescent="0.2">
      <c r="A71" s="2"/>
      <c r="B71" s="2"/>
      <c r="C71" s="2"/>
      <c r="D71" s="2"/>
      <c r="E71" s="2"/>
      <c r="F71" s="2"/>
      <c r="G71" s="2"/>
      <c r="H71" s="2"/>
      <c r="I71" s="2"/>
    </row>
    <row r="72" spans="1:9" ht="16.350000000000001" customHeight="1" x14ac:dyDescent="0.2">
      <c r="A72" s="2"/>
      <c r="B72" s="2"/>
      <c r="C72" s="2"/>
      <c r="D72" s="2"/>
      <c r="E72" s="2"/>
      <c r="F72" s="2"/>
      <c r="G72" s="2"/>
      <c r="H72" s="2"/>
      <c r="I72" s="2"/>
    </row>
    <row r="73" spans="1:9" ht="16.350000000000001" customHeight="1" x14ac:dyDescent="0.2">
      <c r="A73" s="2"/>
      <c r="B73" s="2"/>
      <c r="C73" s="2"/>
      <c r="D73" s="2"/>
      <c r="E73" s="2"/>
      <c r="F73" s="2"/>
      <c r="G73" s="2"/>
      <c r="H73" s="2"/>
      <c r="I73" s="2"/>
    </row>
    <row r="74" spans="1:9" ht="16.350000000000001" customHeight="1" x14ac:dyDescent="0.2">
      <c r="A74" s="2"/>
      <c r="B74" s="2"/>
      <c r="C74" s="2"/>
      <c r="D74" s="2"/>
      <c r="E74" s="2"/>
      <c r="F74" s="2"/>
      <c r="G74" s="2"/>
      <c r="H74" s="2"/>
      <c r="I74" s="2"/>
    </row>
    <row r="75" spans="1:9" ht="16.350000000000001" customHeight="1" x14ac:dyDescent="0.2">
      <c r="A75" s="2"/>
      <c r="B75" s="2"/>
      <c r="C75" s="2"/>
      <c r="D75" s="2"/>
      <c r="E75" s="2"/>
      <c r="F75" s="2"/>
      <c r="G75" s="2"/>
      <c r="H75" s="2"/>
      <c r="I75" s="2"/>
    </row>
  </sheetData>
  <mergeCells count="6">
    <mergeCell ref="K22:M22"/>
    <mergeCell ref="K41:M41"/>
    <mergeCell ref="K3:M3"/>
    <mergeCell ref="A1:I1"/>
    <mergeCell ref="A20:I20"/>
    <mergeCell ref="A39:I39"/>
  </mergeCells>
  <phoneticPr fontId="68" type="noConversion"/>
  <printOptions gridLines="1"/>
  <pageMargins left="0.5" right="0.5" top="1" bottom="0.75" header="0.5" footer="0.5"/>
  <pageSetup scale="70" orientation="landscape" r:id="rId1"/>
  <headerFooter alignWithMargins="0">
    <oddHeader>&amp;C&amp;"Arial,Bold"&amp;16TIER I &amp;&amp; TIER II WATER AVAILABLE</oddHeader>
    <oddFooter>&amp;L&amp;"Arial,Bold"&amp;6MONTHLY PRODUCTION/Wprod0214 (Tier I Avail).xls&amp;R&amp;D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57"/>
  <sheetViews>
    <sheetView zoomScale="80" zoomScaleNormal="80" workbookViewId="0">
      <selection activeCell="Q4" sqref="Q4"/>
    </sheetView>
  </sheetViews>
  <sheetFormatPr defaultColWidth="9" defaultRowHeight="15" x14ac:dyDescent="0.2"/>
  <cols>
    <col min="1" max="1" width="12.125" style="2" customWidth="1"/>
    <col min="2" max="2" width="13.125" style="2" customWidth="1"/>
    <col min="3" max="3" width="10.25" style="2" customWidth="1"/>
    <col min="4" max="4" width="11.75" style="2" customWidth="1"/>
    <col min="5" max="5" width="2.5" style="2" customWidth="1"/>
    <col min="6" max="6" width="9.75" style="2" customWidth="1"/>
    <col min="7" max="7" width="5.25" style="2" customWidth="1"/>
    <col min="8" max="8" width="11.125" style="2" customWidth="1"/>
    <col min="9" max="9" width="3.25" style="2" customWidth="1"/>
    <col min="10" max="10" width="11.75" style="2" hidden="1" customWidth="1"/>
    <col min="11" max="11" width="2.125" style="2" customWidth="1"/>
    <col min="12" max="12" width="10.75" style="2" customWidth="1"/>
    <col min="13" max="14" width="10.625" style="2" customWidth="1"/>
    <col min="15" max="15" width="12.625" style="2" customWidth="1"/>
    <col min="16" max="16" width="2.75" style="2" customWidth="1"/>
    <col min="17" max="17" width="9.25" style="2" bestFit="1" customWidth="1"/>
    <col min="18" max="18" width="5.125" style="2" customWidth="1"/>
    <col min="19" max="19" width="10.875" style="2" customWidth="1"/>
    <col min="20" max="20" width="2.875" style="2" customWidth="1"/>
    <col min="21" max="21" width="12.25" style="2" hidden="1" customWidth="1"/>
    <col min="22" max="16384" width="9" style="2"/>
  </cols>
  <sheetData>
    <row r="1" spans="1:21" ht="6" customHeight="1" thickBot="1" x14ac:dyDescent="0.25">
      <c r="A1" s="2" t="s">
        <v>416</v>
      </c>
    </row>
    <row r="2" spans="1:21" ht="15.75" x14ac:dyDescent="0.25">
      <c r="B2" s="1647" t="s">
        <v>729</v>
      </c>
      <c r="C2" s="1647"/>
      <c r="D2" s="1647"/>
      <c r="F2" s="8"/>
      <c r="J2" s="416" t="s">
        <v>769</v>
      </c>
      <c r="M2" s="1647" t="s">
        <v>729</v>
      </c>
      <c r="N2" s="1647"/>
      <c r="O2" s="1647"/>
      <c r="Q2" s="8"/>
      <c r="S2" s="1"/>
      <c r="T2" s="1"/>
      <c r="U2" s="416" t="s">
        <v>769</v>
      </c>
    </row>
    <row r="3" spans="1:21" ht="15.75" x14ac:dyDescent="0.25">
      <c r="B3" s="1647" t="s">
        <v>730</v>
      </c>
      <c r="C3" s="1647"/>
      <c r="D3" s="1647"/>
      <c r="F3" s="8"/>
      <c r="J3" s="417" t="s">
        <v>770</v>
      </c>
      <c r="M3" s="1647" t="s">
        <v>730</v>
      </c>
      <c r="N3" s="1647"/>
      <c r="O3" s="1647"/>
      <c r="Q3" s="8"/>
      <c r="U3" s="417" t="s">
        <v>770</v>
      </c>
    </row>
    <row r="4" spans="1:21" ht="18.75" thickBot="1" x14ac:dyDescent="0.3">
      <c r="C4" s="402">
        <f>A14</f>
        <v>43709</v>
      </c>
      <c r="F4" s="1537"/>
      <c r="J4" s="418" t="s">
        <v>771</v>
      </c>
      <c r="N4" s="402">
        <f>C4-1</f>
        <v>43708</v>
      </c>
      <c r="P4" s="18"/>
      <c r="Q4" s="1537"/>
      <c r="U4" s="418" t="s">
        <v>771</v>
      </c>
    </row>
    <row r="5" spans="1:21" ht="15.75" hidden="1" x14ac:dyDescent="0.25">
      <c r="B5" s="117" t="s">
        <v>735</v>
      </c>
      <c r="C5" s="401">
        <f>PWRR!H75</f>
        <v>238.53800000000001</v>
      </c>
      <c r="F5" s="1648" t="str">
        <f>IF('Prod Data'!D1="EVEN", "AG CREDIT NO GOOD.","CALCULATING AG CREDIT.")</f>
        <v>AG CREDIT NO GOOD.</v>
      </c>
      <c r="G5" s="1649"/>
      <c r="H5" s="1649"/>
      <c r="I5" s="1650"/>
      <c r="M5" s="117" t="s">
        <v>735</v>
      </c>
      <c r="N5" s="401">
        <f>PWRR!G75</f>
        <v>159.971</v>
      </c>
      <c r="Q5" s="1648" t="str">
        <f>IF('Prod Data'!D1="EVEN", "GO TO LAST MONTH, SEND","CALCULATING AG CREDIT.")</f>
        <v>GO TO LAST MONTH, SEND</v>
      </c>
      <c r="R5" s="1649"/>
      <c r="S5" s="1649"/>
      <c r="T5" s="1650"/>
    </row>
    <row r="6" spans="1:21" ht="16.5" hidden="1" thickBot="1" x14ac:dyDescent="0.3">
      <c r="B6" s="117" t="s">
        <v>731</v>
      </c>
      <c r="C6" s="7">
        <f>$C$5*0.25</f>
        <v>59.634500000000003</v>
      </c>
      <c r="D6" s="403" t="s">
        <v>355</v>
      </c>
      <c r="F6" s="1644" t="str">
        <f>IF('Prod Data'!D1="EVEN", "SEND WITH AG CR COLUMN.","SEND W/O AG CR COLUMN.")</f>
        <v>SEND WITH AG CR COLUMN.</v>
      </c>
      <c r="G6" s="1645"/>
      <c r="H6" s="1645"/>
      <c r="I6" s="1646"/>
      <c r="M6" s="117" t="s">
        <v>731</v>
      </c>
      <c r="N6" s="7">
        <f>$N$5*0.25</f>
        <v>39.992750000000001</v>
      </c>
      <c r="O6" s="74" t="s">
        <v>355</v>
      </c>
      <c r="Q6" s="1644" t="str">
        <f>IF('Prod Data'!D1="EVEN", "PREV 2 MONTH'S IN FULL.","DO NOT SEND.")</f>
        <v>PREV 2 MONTH'S IN FULL.</v>
      </c>
      <c r="R6" s="1645"/>
      <c r="S6" s="1645"/>
      <c r="T6" s="1646"/>
    </row>
    <row r="7" spans="1:21" ht="15.75" hidden="1" x14ac:dyDescent="0.25">
      <c r="B7" s="117" t="s">
        <v>732</v>
      </c>
      <c r="C7" s="7">
        <f>$C$5*0.1</f>
        <v>23.853800000000003</v>
      </c>
      <c r="D7" s="403" t="s">
        <v>356</v>
      </c>
      <c r="F7" s="20"/>
      <c r="M7" s="117" t="s">
        <v>732</v>
      </c>
      <c r="N7" s="7">
        <f>$N$5*0.1</f>
        <v>15.997100000000001</v>
      </c>
      <c r="O7" s="74" t="s">
        <v>356</v>
      </c>
    </row>
    <row r="8" spans="1:21" ht="15.75" hidden="1" x14ac:dyDescent="0.25">
      <c r="B8" s="117" t="s">
        <v>733</v>
      </c>
      <c r="C8" s="7">
        <f>$C$5*0.45</f>
        <v>107.3421</v>
      </c>
      <c r="D8" s="403" t="s">
        <v>346</v>
      </c>
      <c r="M8" s="117" t="s">
        <v>733</v>
      </c>
      <c r="N8" s="7">
        <f>$N$5*0.45</f>
        <v>71.986950000000007</v>
      </c>
      <c r="O8" s="74" t="s">
        <v>346</v>
      </c>
      <c r="Q8" s="54"/>
      <c r="R8" s="54"/>
      <c r="S8" s="54"/>
      <c r="T8" s="54"/>
    </row>
    <row r="9" spans="1:21" ht="16.5" hidden="1" thickBot="1" x14ac:dyDescent="0.3">
      <c r="B9" s="117" t="s">
        <v>734</v>
      </c>
      <c r="C9" s="7">
        <f>$C$5*0.2</f>
        <v>47.707600000000006</v>
      </c>
      <c r="D9" s="403" t="s">
        <v>347</v>
      </c>
      <c r="J9" s="8"/>
      <c r="M9" s="117" t="s">
        <v>734</v>
      </c>
      <c r="N9" s="7">
        <f>$N$5*0.2</f>
        <v>31.994200000000003</v>
      </c>
      <c r="O9" s="74" t="s">
        <v>347</v>
      </c>
      <c r="U9" s="8"/>
    </row>
    <row r="10" spans="1:21" ht="15.75" thickBot="1" x14ac:dyDescent="0.25">
      <c r="A10" s="739"/>
      <c r="B10" s="740"/>
      <c r="C10" s="740"/>
      <c r="D10" s="740"/>
      <c r="E10" s="740"/>
      <c r="F10" s="740"/>
      <c r="G10" s="740"/>
      <c r="H10" s="740"/>
      <c r="I10" s="740"/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6"/>
    </row>
    <row r="11" spans="1:21" ht="18.75" thickTop="1" x14ac:dyDescent="0.25">
      <c r="A11" s="1632" t="s">
        <v>31</v>
      </c>
      <c r="B11" s="1633"/>
      <c r="C11" s="1633"/>
      <c r="D11" s="1633"/>
      <c r="E11" s="1633"/>
      <c r="F11" s="1633"/>
      <c r="G11" s="1633"/>
      <c r="H11" s="1633"/>
      <c r="I11" s="1634"/>
      <c r="M11" s="156" t="s">
        <v>31</v>
      </c>
      <c r="N11" s="252"/>
      <c r="O11" s="48"/>
      <c r="P11" s="48"/>
      <c r="Q11" s="48"/>
      <c r="R11" s="48"/>
      <c r="S11" s="48"/>
      <c r="T11" s="48"/>
    </row>
    <row r="12" spans="1:21" ht="18" x14ac:dyDescent="0.25">
      <c r="A12" s="1635" t="s">
        <v>32</v>
      </c>
      <c r="B12" s="1636"/>
      <c r="C12" s="1636"/>
      <c r="D12" s="1636"/>
      <c r="E12" s="1636"/>
      <c r="F12" s="1636"/>
      <c r="G12" s="1636"/>
      <c r="H12" s="1636"/>
      <c r="I12" s="1637"/>
      <c r="K12" s="4"/>
      <c r="M12" s="156" t="s">
        <v>32</v>
      </c>
      <c r="N12" s="252"/>
      <c r="O12" s="48"/>
      <c r="P12" s="48"/>
      <c r="Q12" s="48"/>
      <c r="R12" s="252"/>
      <c r="S12" s="252"/>
      <c r="T12" s="252"/>
      <c r="U12" s="11"/>
    </row>
    <row r="13" spans="1:21" ht="15.75" customHeight="1" x14ac:dyDescent="0.25">
      <c r="A13" s="765"/>
      <c r="B13" s="741"/>
      <c r="C13" s="742"/>
      <c r="D13" s="743"/>
      <c r="E13" s="743"/>
      <c r="F13" s="743"/>
      <c r="G13" s="742"/>
      <c r="H13" s="742"/>
      <c r="I13" s="766"/>
      <c r="K13" s="4"/>
      <c r="M13" s="156"/>
      <c r="N13" s="252"/>
      <c r="O13" s="48"/>
      <c r="P13" s="48"/>
      <c r="Q13" s="48"/>
      <c r="R13" s="252"/>
      <c r="S13" s="252"/>
      <c r="T13" s="252"/>
    </row>
    <row r="14" spans="1:21" ht="18" x14ac:dyDescent="0.25">
      <c r="A14" s="1638">
        <f>'Prod Data'!C1</f>
        <v>43709</v>
      </c>
      <c r="B14" s="1639"/>
      <c r="C14" s="1639"/>
      <c r="D14" s="1639"/>
      <c r="E14" s="1639"/>
      <c r="F14" s="1639"/>
      <c r="G14" s="1639"/>
      <c r="H14" s="1639"/>
      <c r="I14" s="1640"/>
      <c r="J14" s="161"/>
      <c r="K14" s="4"/>
      <c r="M14" s="37"/>
      <c r="N14" s="18"/>
      <c r="O14" s="658">
        <f>N4</f>
        <v>43708</v>
      </c>
      <c r="P14" s="18"/>
      <c r="Q14" s="18"/>
      <c r="R14" s="18"/>
      <c r="S14" s="18"/>
      <c r="T14" s="412"/>
    </row>
    <row r="15" spans="1:21" ht="15.75" thickBot="1" x14ac:dyDescent="0.25">
      <c r="A15" s="765"/>
      <c r="B15" s="15"/>
      <c r="C15" s="15"/>
      <c r="D15" s="15"/>
      <c r="E15" s="15"/>
      <c r="F15" s="15"/>
      <c r="G15" s="15"/>
      <c r="H15" s="15"/>
      <c r="I15" s="767"/>
      <c r="K15" s="15"/>
    </row>
    <row r="16" spans="1:21" ht="16.5" thickBot="1" x14ac:dyDescent="0.3">
      <c r="A16" s="768" t="s">
        <v>33</v>
      </c>
      <c r="B16" s="39"/>
      <c r="C16" s="1630" t="s">
        <v>34</v>
      </c>
      <c r="D16" s="1631"/>
      <c r="E16" s="1627" t="s">
        <v>35</v>
      </c>
      <c r="F16" s="1628"/>
      <c r="G16" s="1629"/>
      <c r="H16" s="66" t="s">
        <v>36</v>
      </c>
      <c r="I16" s="769"/>
      <c r="J16" s="328" t="s">
        <v>37</v>
      </c>
      <c r="K16" s="15"/>
      <c r="L16" s="38" t="s">
        <v>33</v>
      </c>
      <c r="M16" s="39"/>
      <c r="N16" s="40" t="s">
        <v>34</v>
      </c>
      <c r="O16" s="41"/>
      <c r="P16" s="66"/>
      <c r="Q16" s="41" t="s">
        <v>35</v>
      </c>
      <c r="R16" s="41"/>
      <c r="S16" s="66" t="s">
        <v>36</v>
      </c>
      <c r="T16" s="328"/>
      <c r="U16" s="328" t="s">
        <v>37</v>
      </c>
    </row>
    <row r="17" spans="1:21" ht="15.75" x14ac:dyDescent="0.25">
      <c r="A17" s="770"/>
      <c r="B17" s="15"/>
      <c r="C17" s="738" t="s">
        <v>38</v>
      </c>
      <c r="D17" s="738" t="s">
        <v>39</v>
      </c>
      <c r="E17" s="67"/>
      <c r="F17" s="4"/>
      <c r="G17" s="4"/>
      <c r="H17" s="67"/>
      <c r="I17" s="771"/>
      <c r="J17" s="4"/>
      <c r="K17" s="45"/>
      <c r="L17" s="1"/>
      <c r="N17" s="8" t="s">
        <v>38</v>
      </c>
      <c r="O17" s="8" t="s">
        <v>39</v>
      </c>
      <c r="P17" s="67"/>
      <c r="Q17" s="1"/>
      <c r="R17" s="1"/>
      <c r="S17" s="67"/>
      <c r="T17" s="4"/>
      <c r="U17" s="4"/>
    </row>
    <row r="18" spans="1:21" ht="15.75" x14ac:dyDescent="0.25">
      <c r="A18" s="772" t="s">
        <v>41</v>
      </c>
      <c r="B18" s="16"/>
      <c r="C18" s="94"/>
      <c r="D18" s="745"/>
      <c r="E18" s="16"/>
      <c r="F18" s="16"/>
      <c r="G18" s="745"/>
      <c r="H18" s="16"/>
      <c r="I18" s="773"/>
      <c r="J18" s="15"/>
      <c r="K18" s="45"/>
      <c r="L18" s="1"/>
      <c r="N18" s="7"/>
      <c r="O18" s="7"/>
      <c r="P18" s="15"/>
      <c r="T18" s="15"/>
      <c r="U18" s="15"/>
    </row>
    <row r="19" spans="1:21" ht="15.75" x14ac:dyDescent="0.25">
      <c r="A19" s="772"/>
      <c r="B19" s="3" t="s">
        <v>974</v>
      </c>
      <c r="C19" s="821">
        <f>'Prod Data'!F21</f>
        <v>54.533000000000001</v>
      </c>
      <c r="D19" s="754"/>
      <c r="E19" s="16"/>
      <c r="F19" s="16"/>
      <c r="G19" s="745"/>
      <c r="H19" s="16"/>
      <c r="I19" s="773"/>
      <c r="J19" s="16"/>
      <c r="K19" s="45"/>
      <c r="L19" s="3" t="s">
        <v>41</v>
      </c>
      <c r="M19" s="16"/>
      <c r="N19" s="94"/>
      <c r="O19" s="94"/>
      <c r="P19" s="16"/>
      <c r="Q19" s="16"/>
      <c r="R19" s="16"/>
      <c r="S19" s="16"/>
      <c r="T19" s="16"/>
      <c r="U19" s="16"/>
    </row>
    <row r="20" spans="1:21" ht="15.75" x14ac:dyDescent="0.25">
      <c r="A20" s="774" t="s">
        <v>129</v>
      </c>
      <c r="B20" s="15"/>
      <c r="C20" s="261">
        <f>C19</f>
        <v>54.533000000000001</v>
      </c>
      <c r="D20" s="53"/>
      <c r="E20" s="142"/>
      <c r="F20" s="261">
        <f>'Prod Data'!G29+'Prod Data'!G31+SUM('Prod Data'!G34:'Prod Data'!G39)</f>
        <v>608.96235078053257</v>
      </c>
      <c r="G20" s="53"/>
      <c r="H20" s="755">
        <f>C20+F20</f>
        <v>663.49535078053259</v>
      </c>
      <c r="I20" s="775"/>
      <c r="J20" s="347">
        <f>C6</f>
        <v>59.634500000000003</v>
      </c>
      <c r="K20" s="45"/>
      <c r="L20" s="58" t="s">
        <v>129</v>
      </c>
      <c r="M20" s="15"/>
      <c r="N20" s="53">
        <v>0</v>
      </c>
      <c r="O20" s="53"/>
      <c r="P20" s="142"/>
      <c r="Q20" s="53">
        <v>693.89348025711661</v>
      </c>
      <c r="R20" s="53"/>
      <c r="S20" s="445">
        <v>693.89348025711661</v>
      </c>
      <c r="T20" s="347"/>
      <c r="U20" s="427">
        <f>N6</f>
        <v>39.992750000000001</v>
      </c>
    </row>
    <row r="21" spans="1:21" ht="15.75" x14ac:dyDescent="0.25">
      <c r="A21" s="774"/>
      <c r="B21" s="15"/>
      <c r="C21" s="261"/>
      <c r="D21" s="255"/>
      <c r="E21" s="53"/>
      <c r="F21" s="261"/>
      <c r="G21" s="255"/>
      <c r="H21" s="347"/>
      <c r="I21" s="775"/>
      <c r="J21" s="347"/>
      <c r="K21" s="45"/>
      <c r="L21" s="58"/>
      <c r="M21" s="15"/>
      <c r="N21" s="53"/>
      <c r="O21" s="53"/>
      <c r="P21" s="53"/>
      <c r="Q21" s="53"/>
      <c r="R21" s="53"/>
      <c r="S21" s="45"/>
      <c r="T21" s="347"/>
      <c r="U21" s="427"/>
    </row>
    <row r="22" spans="1:21" ht="15.75" x14ac:dyDescent="0.25">
      <c r="A22" s="772" t="s">
        <v>42</v>
      </c>
      <c r="B22" s="16"/>
      <c r="C22" s="262"/>
      <c r="D22" s="103"/>
      <c r="E22" s="143"/>
      <c r="F22" s="262">
        <f>'Prod Data'!G33</f>
        <v>60.603099173553716</v>
      </c>
      <c r="G22" s="103"/>
      <c r="H22" s="756">
        <f>F22</f>
        <v>60.603099173553716</v>
      </c>
      <c r="I22" s="776"/>
      <c r="J22" s="348"/>
      <c r="K22" s="45"/>
      <c r="L22" s="3" t="s">
        <v>42</v>
      </c>
      <c r="M22" s="16"/>
      <c r="N22" s="103"/>
      <c r="O22" s="103"/>
      <c r="P22" s="143"/>
      <c r="Q22" s="103">
        <v>41.647773186409552</v>
      </c>
      <c r="R22" s="103"/>
      <c r="S22" s="446">
        <v>41.647773186409552</v>
      </c>
      <c r="T22" s="348"/>
      <c r="U22" s="428"/>
    </row>
    <row r="23" spans="1:21" ht="15.75" x14ac:dyDescent="0.25">
      <c r="A23" s="774" t="s">
        <v>199</v>
      </c>
      <c r="B23" s="15"/>
      <c r="C23" s="261">
        <v>0</v>
      </c>
      <c r="D23" s="53"/>
      <c r="E23" s="142"/>
      <c r="F23" s="261">
        <f>F22</f>
        <v>60.603099173553716</v>
      </c>
      <c r="G23" s="53"/>
      <c r="H23" s="755">
        <f>C22+F22</f>
        <v>60.603099173553716</v>
      </c>
      <c r="I23" s="775"/>
      <c r="J23" s="347">
        <f>C7</f>
        <v>23.853800000000003</v>
      </c>
      <c r="K23" s="45"/>
      <c r="L23" s="58" t="s">
        <v>199</v>
      </c>
      <c r="M23" s="15"/>
      <c r="N23" s="53">
        <v>0</v>
      </c>
      <c r="O23" s="53"/>
      <c r="P23" s="142"/>
      <c r="Q23" s="53">
        <v>41.647773186409552</v>
      </c>
      <c r="R23" s="53"/>
      <c r="S23" s="445">
        <v>41.647773186409552</v>
      </c>
      <c r="T23" s="347"/>
      <c r="U23" s="427">
        <f>N7</f>
        <v>15.997100000000001</v>
      </c>
    </row>
    <row r="24" spans="1:21" ht="15.75" x14ac:dyDescent="0.25">
      <c r="A24" s="770"/>
      <c r="B24" s="15"/>
      <c r="C24" s="261"/>
      <c r="D24" s="255"/>
      <c r="E24" s="53"/>
      <c r="F24" s="351"/>
      <c r="G24" s="255"/>
      <c r="H24" s="347"/>
      <c r="I24" s="775"/>
      <c r="J24" s="347"/>
      <c r="K24" s="45"/>
      <c r="L24" s="4"/>
      <c r="M24" s="15"/>
      <c r="N24" s="53"/>
      <c r="O24" s="53"/>
      <c r="P24" s="53"/>
      <c r="Q24" s="430"/>
      <c r="R24" s="53"/>
      <c r="S24" s="45"/>
      <c r="T24" s="347"/>
      <c r="U24" s="427"/>
    </row>
    <row r="25" spans="1:21" ht="15.75" x14ac:dyDescent="0.25">
      <c r="A25" s="772" t="s">
        <v>43</v>
      </c>
      <c r="B25" s="16"/>
      <c r="C25" s="262"/>
      <c r="D25" s="353"/>
      <c r="E25" s="103"/>
      <c r="F25" s="753"/>
      <c r="G25" s="353"/>
      <c r="H25" s="348"/>
      <c r="I25" s="776"/>
      <c r="J25" s="347"/>
      <c r="K25" s="45"/>
      <c r="L25" s="4" t="s">
        <v>43</v>
      </c>
      <c r="M25" s="15"/>
      <c r="N25" s="53"/>
      <c r="O25" s="53"/>
      <c r="P25" s="53"/>
      <c r="Q25" s="430"/>
      <c r="R25" s="53"/>
      <c r="S25" s="45"/>
      <c r="T25" s="347"/>
      <c r="U25" s="427"/>
    </row>
    <row r="26" spans="1:21" ht="15.75" x14ac:dyDescent="0.25">
      <c r="A26" s="765"/>
      <c r="B26" s="4" t="s">
        <v>14</v>
      </c>
      <c r="C26" s="261">
        <f>'Prod Data'!F20</f>
        <v>82.355000000000004</v>
      </c>
      <c r="D26" s="53"/>
      <c r="E26" s="142"/>
      <c r="F26" s="261">
        <f>'Prod Data'!G30</f>
        <v>60.264003673094585</v>
      </c>
      <c r="G26" s="53"/>
      <c r="H26" s="757">
        <f>C26+F26</f>
        <v>142.6190036730946</v>
      </c>
      <c r="I26" s="775"/>
      <c r="J26" s="347"/>
      <c r="K26" s="45"/>
      <c r="L26" s="15"/>
      <c r="M26" s="4" t="s">
        <v>14</v>
      </c>
      <c r="N26" s="53">
        <v>49.223999999999997</v>
      </c>
      <c r="O26" s="53"/>
      <c r="P26" s="142"/>
      <c r="Q26" s="53">
        <v>140.62901744719926</v>
      </c>
      <c r="R26" s="53"/>
      <c r="S26" s="445">
        <v>189.85301744719925</v>
      </c>
      <c r="T26" s="347"/>
      <c r="U26" s="427"/>
    </row>
    <row r="27" spans="1:21" ht="15.75" x14ac:dyDescent="0.25">
      <c r="A27" s="772"/>
      <c r="B27" s="3"/>
      <c r="C27" s="262"/>
      <c r="D27" s="103"/>
      <c r="E27" s="143"/>
      <c r="F27" s="262"/>
      <c r="G27" s="751"/>
      <c r="H27" s="756"/>
      <c r="I27" s="776"/>
      <c r="J27" s="348"/>
      <c r="K27" s="45"/>
      <c r="L27" s="3"/>
      <c r="M27" s="3"/>
      <c r="N27" s="103"/>
      <c r="O27" s="103"/>
      <c r="P27" s="143"/>
      <c r="Q27" s="103">
        <v>-0.23599999999999999</v>
      </c>
      <c r="R27" s="751" t="s">
        <v>162</v>
      </c>
      <c r="S27" s="446">
        <v>-0.23599999999999999</v>
      </c>
      <c r="T27" s="348"/>
      <c r="U27" s="428"/>
    </row>
    <row r="28" spans="1:21" ht="15.75" x14ac:dyDescent="0.25">
      <c r="A28" s="774" t="s">
        <v>128</v>
      </c>
      <c r="B28" s="4"/>
      <c r="C28" s="261">
        <f>C26</f>
        <v>82.355000000000004</v>
      </c>
      <c r="D28" s="53"/>
      <c r="E28" s="142"/>
      <c r="F28" s="261">
        <f>F26+F27</f>
        <v>60.264003673094585</v>
      </c>
      <c r="G28" s="53"/>
      <c r="H28" s="757">
        <f>C28+F28</f>
        <v>142.6190036730946</v>
      </c>
      <c r="I28" s="775"/>
      <c r="J28" s="347">
        <f>C8</f>
        <v>107.3421</v>
      </c>
      <c r="K28" s="45"/>
      <c r="L28" s="58" t="s">
        <v>128</v>
      </c>
      <c r="M28" s="4"/>
      <c r="N28" s="53">
        <v>49.223999999999997</v>
      </c>
      <c r="O28" s="53"/>
      <c r="P28" s="142"/>
      <c r="Q28" s="53">
        <v>140.39301744719927</v>
      </c>
      <c r="R28" s="53"/>
      <c r="S28" s="445">
        <v>189.61701744719926</v>
      </c>
      <c r="T28" s="347"/>
      <c r="U28" s="427">
        <f>N8</f>
        <v>71.986950000000007</v>
      </c>
    </row>
    <row r="29" spans="1:21" ht="15.75" x14ac:dyDescent="0.25">
      <c r="A29" s="770"/>
      <c r="B29" s="15"/>
      <c r="C29" s="261"/>
      <c r="D29" s="255"/>
      <c r="E29" s="53"/>
      <c r="F29" s="261"/>
      <c r="G29" s="255"/>
      <c r="H29" s="347"/>
      <c r="I29" s="775"/>
      <c r="J29" s="347"/>
      <c r="K29" s="45"/>
      <c r="L29" s="4"/>
      <c r="M29" s="15"/>
      <c r="N29" s="53"/>
      <c r="O29" s="53"/>
      <c r="P29" s="53"/>
      <c r="Q29" s="53"/>
      <c r="R29" s="53"/>
      <c r="S29" s="45"/>
      <c r="T29" s="347"/>
      <c r="U29" s="427"/>
    </row>
    <row r="30" spans="1:21" ht="15.75" x14ac:dyDescent="0.25">
      <c r="A30" s="772" t="s">
        <v>44</v>
      </c>
      <c r="B30" s="16"/>
      <c r="C30" s="262"/>
      <c r="D30" s="353"/>
      <c r="E30" s="103"/>
      <c r="F30" s="262"/>
      <c r="G30" s="353"/>
      <c r="H30" s="348"/>
      <c r="I30" s="776"/>
      <c r="J30" s="347"/>
      <c r="K30" s="17"/>
      <c r="L30" s="4" t="s">
        <v>44</v>
      </c>
      <c r="M30" s="15"/>
      <c r="N30" s="53"/>
      <c r="O30" s="53"/>
      <c r="P30" s="53"/>
      <c r="Q30" s="53"/>
      <c r="R30" s="53"/>
      <c r="S30" s="45"/>
      <c r="T30" s="347"/>
      <c r="U30" s="427"/>
    </row>
    <row r="31" spans="1:21" ht="15.75" x14ac:dyDescent="0.25">
      <c r="A31" s="765"/>
      <c r="B31" s="4" t="s">
        <v>15</v>
      </c>
      <c r="C31" s="261">
        <f>'Prod Data'!F22</f>
        <v>21.611999999999998</v>
      </c>
      <c r="D31" s="53"/>
      <c r="E31" s="142"/>
      <c r="F31" s="261"/>
      <c r="G31" s="53"/>
      <c r="H31" s="757"/>
      <c r="I31" s="775"/>
      <c r="J31" s="349"/>
      <c r="K31" s="17"/>
      <c r="M31" s="1" t="s">
        <v>15</v>
      </c>
      <c r="N31" s="107">
        <v>26.4</v>
      </c>
      <c r="O31" s="107"/>
      <c r="P31" s="142"/>
      <c r="Q31" s="107"/>
      <c r="R31" s="107"/>
      <c r="S31" s="445"/>
      <c r="T31" s="349"/>
      <c r="U31" s="429"/>
    </row>
    <row r="32" spans="1:21" ht="15.75" x14ac:dyDescent="0.25">
      <c r="A32" s="770"/>
      <c r="B32" s="4" t="s">
        <v>17</v>
      </c>
      <c r="C32" s="261">
        <f>'Prod Data'!$F$23</f>
        <v>0</v>
      </c>
      <c r="D32" s="53"/>
      <c r="E32" s="142"/>
      <c r="F32" s="261"/>
      <c r="G32" s="53"/>
      <c r="H32" s="757"/>
      <c r="I32" s="775"/>
      <c r="J32" s="349"/>
      <c r="K32" s="17"/>
      <c r="L32" s="1"/>
      <c r="M32" s="1" t="s">
        <v>16</v>
      </c>
      <c r="N32" s="107">
        <v>64.225999999999999</v>
      </c>
      <c r="O32" s="107"/>
      <c r="P32" s="142"/>
      <c r="Q32" s="107"/>
      <c r="R32" s="107"/>
      <c r="S32" s="445"/>
      <c r="T32" s="349"/>
      <c r="U32" s="429"/>
    </row>
    <row r="33" spans="1:21" ht="15.75" x14ac:dyDescent="0.25">
      <c r="A33" s="770"/>
      <c r="B33" s="4" t="s">
        <v>18</v>
      </c>
      <c r="C33" s="261">
        <f>'Prod Data'!F24</f>
        <v>73.164000000000001</v>
      </c>
      <c r="D33" s="53"/>
      <c r="E33" s="142"/>
      <c r="F33" s="261">
        <f>'Prod Data'!G32</f>
        <v>29.772727272727273</v>
      </c>
      <c r="G33" s="53"/>
      <c r="H33" s="757">
        <f>C33+F33</f>
        <v>102.93672727272727</v>
      </c>
      <c r="I33" s="775"/>
      <c r="J33" s="349"/>
      <c r="K33" s="17"/>
      <c r="L33" s="1"/>
      <c r="M33" s="1" t="s">
        <v>17</v>
      </c>
      <c r="N33" s="107">
        <v>56.494</v>
      </c>
      <c r="O33" s="107"/>
      <c r="P33" s="142"/>
      <c r="Q33" s="107"/>
      <c r="R33" s="107"/>
      <c r="S33" s="445"/>
      <c r="T33" s="349"/>
      <c r="U33" s="429"/>
    </row>
    <row r="34" spans="1:21" ht="15.75" x14ac:dyDescent="0.25">
      <c r="A34" s="772"/>
      <c r="B34" s="3"/>
      <c r="C34" s="262"/>
      <c r="D34" s="103"/>
      <c r="E34" s="143"/>
      <c r="F34" s="262"/>
      <c r="G34" s="751"/>
      <c r="H34" s="756"/>
      <c r="I34" s="776"/>
      <c r="J34" s="349"/>
      <c r="K34" s="45"/>
      <c r="L34" s="1"/>
      <c r="M34" s="1" t="s">
        <v>18</v>
      </c>
      <c r="N34" s="107">
        <v>40.552999999999997</v>
      </c>
      <c r="O34" s="107"/>
      <c r="P34" s="142"/>
      <c r="Q34" s="107">
        <v>6.728650137741047</v>
      </c>
      <c r="R34" s="107"/>
      <c r="S34" s="445">
        <v>47.281650137741046</v>
      </c>
      <c r="T34" s="349"/>
      <c r="U34" s="429"/>
    </row>
    <row r="35" spans="1:21" ht="15.75" x14ac:dyDescent="0.25">
      <c r="A35" s="774" t="s">
        <v>45</v>
      </c>
      <c r="B35" s="4"/>
      <c r="C35" s="261">
        <f>SUM(C31:C33)</f>
        <v>94.775999999999996</v>
      </c>
      <c r="D35" s="53">
        <v>0</v>
      </c>
      <c r="E35" s="142"/>
      <c r="F35" s="261">
        <f>F33+F34</f>
        <v>29.772727272727273</v>
      </c>
      <c r="G35" s="53"/>
      <c r="H35" s="757">
        <f>C35+F35</f>
        <v>124.54872727272726</v>
      </c>
      <c r="I35" s="775"/>
      <c r="J35" s="348"/>
      <c r="K35" s="45"/>
      <c r="L35" s="3"/>
      <c r="M35" s="3"/>
      <c r="N35" s="103"/>
      <c r="O35" s="103"/>
      <c r="P35" s="143"/>
      <c r="Q35" s="103">
        <v>0.23599999999999999</v>
      </c>
      <c r="R35" s="751" t="s">
        <v>163</v>
      </c>
      <c r="S35" s="446">
        <v>0.23599999999999999</v>
      </c>
      <c r="T35" s="348"/>
      <c r="U35" s="428"/>
    </row>
    <row r="36" spans="1:21" ht="15.75" x14ac:dyDescent="0.25">
      <c r="A36" s="774"/>
      <c r="B36" s="4"/>
      <c r="C36" s="53"/>
      <c r="D36" s="255"/>
      <c r="E36" s="53"/>
      <c r="F36" s="53"/>
      <c r="G36" s="255"/>
      <c r="H36" s="347"/>
      <c r="I36" s="775"/>
      <c r="J36" s="347">
        <f>C9</f>
        <v>47.707600000000006</v>
      </c>
      <c r="K36" s="45"/>
      <c r="L36" s="58" t="s">
        <v>45</v>
      </c>
      <c r="M36" s="4"/>
      <c r="N36" s="53">
        <v>187.673</v>
      </c>
      <c r="O36" s="53">
        <v>0</v>
      </c>
      <c r="P36" s="142"/>
      <c r="Q36" s="53">
        <v>6.9646501377410468</v>
      </c>
      <c r="R36" s="53"/>
      <c r="S36" s="445">
        <v>194.63765013774105</v>
      </c>
      <c r="T36" s="347"/>
      <c r="U36" s="427">
        <f>N9</f>
        <v>31.994200000000003</v>
      </c>
    </row>
    <row r="37" spans="1:21" ht="15.75" x14ac:dyDescent="0.25">
      <c r="A37" s="770"/>
      <c r="B37" s="746"/>
      <c r="C37" s="53"/>
      <c r="D37" s="785"/>
      <c r="E37" s="53"/>
      <c r="F37" s="53"/>
      <c r="G37" s="255"/>
      <c r="H37" s="347"/>
      <c r="I37" s="775"/>
      <c r="J37" s="347"/>
      <c r="K37" s="17"/>
      <c r="L37" s="58"/>
      <c r="M37" s="4"/>
      <c r="N37" s="53"/>
      <c r="O37" s="53"/>
      <c r="P37" s="53"/>
      <c r="Q37" s="53"/>
      <c r="R37" s="53"/>
      <c r="S37" s="45"/>
      <c r="T37" s="347"/>
      <c r="U37" s="427"/>
    </row>
    <row r="38" spans="1:21" ht="15.75" x14ac:dyDescent="0.25">
      <c r="A38" s="1623" t="s">
        <v>345</v>
      </c>
      <c r="B38" s="1624"/>
      <c r="C38" s="369">
        <f>C20+C23+C28+C35</f>
        <v>231.66399999999999</v>
      </c>
      <c r="D38" s="786">
        <f>D20+D23+D28+D35</f>
        <v>0</v>
      </c>
      <c r="E38" s="369"/>
      <c r="F38" s="369">
        <f>F20+F23+F28+F35</f>
        <v>759.60218089990815</v>
      </c>
      <c r="G38" s="786"/>
      <c r="H38" s="369">
        <f>H20+H23+H28+H35</f>
        <v>991.26618089990825</v>
      </c>
      <c r="I38" s="777"/>
      <c r="J38" s="349"/>
      <c r="K38" s="108"/>
      <c r="L38" s="1"/>
      <c r="M38" s="6"/>
      <c r="N38" s="107"/>
      <c r="O38" s="431"/>
      <c r="P38" s="107"/>
      <c r="Q38" s="107"/>
      <c r="R38" s="107"/>
      <c r="S38" s="17"/>
      <c r="T38" s="349"/>
      <c r="U38" s="429"/>
    </row>
    <row r="39" spans="1:21" ht="15.75" x14ac:dyDescent="0.25">
      <c r="A39" s="765"/>
      <c r="B39" s="4"/>
      <c r="C39" s="15"/>
      <c r="D39" s="1299"/>
      <c r="E39" s="747"/>
      <c r="F39" s="45"/>
      <c r="G39" s="1300"/>
      <c r="H39" s="347"/>
      <c r="I39" s="775"/>
      <c r="J39" s="350">
        <f t="shared" ref="J39" si="0">J20+J23+J28+J36</f>
        <v>238.53800000000001</v>
      </c>
      <c r="K39" s="17"/>
      <c r="L39" s="1" t="s">
        <v>345</v>
      </c>
      <c r="N39" s="432">
        <v>236.89699999999999</v>
      </c>
      <c r="O39" s="432">
        <v>0</v>
      </c>
      <c r="P39" s="432"/>
      <c r="Q39" s="432">
        <v>882.89892102846648</v>
      </c>
      <c r="R39" s="432"/>
      <c r="S39" s="432">
        <v>1119.7959210284664</v>
      </c>
      <c r="T39" s="350"/>
      <c r="U39" s="350">
        <f>U20+U23+U28+U36</f>
        <v>159.971</v>
      </c>
    </row>
    <row r="40" spans="1:21" ht="15" customHeight="1" thickBot="1" x14ac:dyDescent="0.35">
      <c r="A40" s="1625"/>
      <c r="B40" s="1626"/>
      <c r="C40" s="1626"/>
      <c r="D40" s="1302"/>
      <c r="E40" s="1303"/>
      <c r="F40" s="1303"/>
      <c r="G40" s="1304"/>
      <c r="H40" s="1303"/>
      <c r="I40" s="1305"/>
      <c r="J40" s="409"/>
      <c r="K40" s="109"/>
      <c r="M40" s="1"/>
      <c r="O40" s="6"/>
      <c r="P40" s="168"/>
      <c r="Q40" s="17"/>
      <c r="R40" s="17"/>
      <c r="S40" s="17"/>
      <c r="T40" s="17"/>
      <c r="U40" s="329"/>
    </row>
    <row r="41" spans="1:21" ht="18" x14ac:dyDescent="0.25">
      <c r="A41" s="1641" t="s">
        <v>46</v>
      </c>
      <c r="B41" s="1642"/>
      <c r="C41" s="1642"/>
      <c r="D41" s="1642"/>
      <c r="E41" s="1642"/>
      <c r="F41" s="1642"/>
      <c r="G41" s="1642"/>
      <c r="H41" s="1642"/>
      <c r="I41" s="1643"/>
      <c r="J41" s="6"/>
      <c r="K41" s="6"/>
      <c r="M41" s="752" t="s">
        <v>354</v>
      </c>
      <c r="O41" s="43"/>
      <c r="P41" s="17"/>
      <c r="Q41" s="17"/>
      <c r="R41" s="17"/>
      <c r="S41" s="17"/>
      <c r="T41" s="162"/>
      <c r="U41" s="6"/>
    </row>
    <row r="42" spans="1:21" ht="19.5" customHeight="1" x14ac:dyDescent="0.25">
      <c r="A42" s="1641" t="s">
        <v>32</v>
      </c>
      <c r="B42" s="1642"/>
      <c r="C42" s="1642"/>
      <c r="D42" s="1642"/>
      <c r="E42" s="1642"/>
      <c r="F42" s="1642"/>
      <c r="G42" s="1642"/>
      <c r="H42" s="1642"/>
      <c r="I42" s="1643"/>
    </row>
    <row r="43" spans="1:21" ht="18" x14ac:dyDescent="0.25">
      <c r="A43" s="778"/>
      <c r="B43" s="748"/>
      <c r="C43" s="742"/>
      <c r="D43" s="748"/>
      <c r="E43" s="748"/>
      <c r="F43" s="30"/>
      <c r="G43" s="748"/>
      <c r="H43" s="742"/>
      <c r="I43" s="767"/>
    </row>
    <row r="44" spans="1:21" ht="15.75" customHeight="1" x14ac:dyDescent="0.25">
      <c r="A44" s="1620">
        <f>'Prod Data'!C1</f>
        <v>43709</v>
      </c>
      <c r="B44" s="1621"/>
      <c r="C44" s="1621"/>
      <c r="D44" s="1621"/>
      <c r="E44" s="1621"/>
      <c r="F44" s="1621"/>
      <c r="G44" s="1621"/>
      <c r="H44" s="1621"/>
      <c r="I44" s="1622"/>
    </row>
    <row r="45" spans="1:21" ht="18" customHeight="1" thickBot="1" x14ac:dyDescent="0.25">
      <c r="A45" s="765"/>
      <c r="B45" s="15"/>
      <c r="C45" s="15"/>
      <c r="D45" s="15"/>
      <c r="E45" s="15"/>
      <c r="F45" s="15"/>
      <c r="G45" s="15"/>
      <c r="H45" s="15"/>
      <c r="I45" s="767"/>
    </row>
    <row r="46" spans="1:21" ht="16.5" thickBot="1" x14ac:dyDescent="0.3">
      <c r="A46" s="768" t="s">
        <v>101</v>
      </c>
      <c r="B46" s="39"/>
      <c r="C46" s="40" t="s">
        <v>34</v>
      </c>
      <c r="D46" s="41"/>
      <c r="E46" s="1627" t="s">
        <v>35</v>
      </c>
      <c r="F46" s="1628"/>
      <c r="G46" s="1629"/>
      <c r="H46" s="66" t="s">
        <v>36</v>
      </c>
      <c r="I46" s="769"/>
    </row>
    <row r="47" spans="1:21" ht="15.75" x14ac:dyDescent="0.25">
      <c r="A47" s="770"/>
      <c r="B47" s="15"/>
      <c r="C47" s="738" t="s">
        <v>38</v>
      </c>
      <c r="D47" s="764" t="s">
        <v>431</v>
      </c>
      <c r="E47" s="4"/>
      <c r="F47" s="4"/>
      <c r="G47" s="761"/>
      <c r="H47" s="4"/>
      <c r="I47" s="767"/>
    </row>
    <row r="48" spans="1:21" ht="15.75" customHeight="1" x14ac:dyDescent="0.25">
      <c r="A48" s="770"/>
      <c r="B48" s="15"/>
      <c r="C48" s="47"/>
      <c r="D48" s="750" t="s">
        <v>753</v>
      </c>
      <c r="E48" s="15"/>
      <c r="F48" s="15"/>
      <c r="G48" s="744"/>
      <c r="H48" s="15"/>
      <c r="I48" s="767"/>
    </row>
    <row r="49" spans="1:9" ht="15.75" x14ac:dyDescent="0.25">
      <c r="A49" s="765"/>
      <c r="B49" s="4" t="s">
        <v>22</v>
      </c>
      <c r="C49" s="830">
        <f>'Prod Data'!F45</f>
        <v>134.447</v>
      </c>
      <c r="D49" s="758" t="s">
        <v>4</v>
      </c>
      <c r="E49" s="736"/>
      <c r="F49" s="736"/>
      <c r="G49" s="758"/>
      <c r="H49" s="736"/>
      <c r="I49" s="767"/>
    </row>
    <row r="50" spans="1:9" ht="15.75" x14ac:dyDescent="0.25">
      <c r="A50" s="765"/>
      <c r="B50" s="4" t="s">
        <v>24</v>
      </c>
      <c r="C50" s="830">
        <f>'Prod Data'!F46</f>
        <v>69.225999999999999</v>
      </c>
      <c r="D50" s="758"/>
      <c r="E50" s="736"/>
      <c r="F50" s="736"/>
      <c r="G50" s="758"/>
      <c r="H50" s="736"/>
      <c r="I50" s="767"/>
    </row>
    <row r="51" spans="1:9" ht="15.75" x14ac:dyDescent="0.25">
      <c r="A51" s="779"/>
      <c r="B51" s="3" t="s">
        <v>952</v>
      </c>
      <c r="C51" s="831">
        <f>'Prod Data'!F47</f>
        <v>31.155999999999999</v>
      </c>
      <c r="D51" s="759"/>
      <c r="E51" s="737"/>
      <c r="F51" s="737"/>
      <c r="G51" s="762"/>
      <c r="H51" s="737"/>
      <c r="I51" s="773"/>
    </row>
    <row r="52" spans="1:9" ht="15.75" x14ac:dyDescent="0.25">
      <c r="A52" s="774"/>
      <c r="B52" s="4"/>
      <c r="C52" s="736"/>
      <c r="D52" s="760"/>
      <c r="E52" s="749"/>
      <c r="F52" s="749"/>
      <c r="G52" s="763"/>
      <c r="H52" s="749"/>
      <c r="I52" s="767"/>
    </row>
    <row r="53" spans="1:9" ht="15.75" x14ac:dyDescent="0.25">
      <c r="A53" s="774"/>
      <c r="B53" s="4"/>
      <c r="C53" s="736"/>
      <c r="D53" s="760"/>
      <c r="E53" s="749"/>
      <c r="F53" s="749"/>
      <c r="G53" s="763"/>
      <c r="H53" s="749"/>
      <c r="I53" s="767"/>
    </row>
    <row r="54" spans="1:9" ht="15.75" x14ac:dyDescent="0.25">
      <c r="A54" s="1623" t="s">
        <v>958</v>
      </c>
      <c r="B54" s="1624"/>
      <c r="C54" s="749">
        <f>SUM(C49:C51)</f>
        <v>234.82900000000001</v>
      </c>
      <c r="D54" s="760">
        <f>'Prod Data'!D6+'Prod Data'!D8</f>
        <v>0</v>
      </c>
      <c r="E54" s="749"/>
      <c r="F54" s="749">
        <f>'Prod Data'!D5</f>
        <v>5.6239999999999997</v>
      </c>
      <c r="G54" s="763"/>
      <c r="H54" s="749">
        <f>C54+F54</f>
        <v>240.453</v>
      </c>
      <c r="I54" s="767"/>
    </row>
    <row r="55" spans="1:9" ht="15.75" x14ac:dyDescent="0.25">
      <c r="A55" s="780"/>
      <c r="B55" s="15"/>
      <c r="C55" s="45"/>
      <c r="D55" s="1300"/>
      <c r="E55" s="45"/>
      <c r="F55" s="4"/>
      <c r="G55" s="1300"/>
      <c r="H55" s="45"/>
      <c r="I55" s="767"/>
    </row>
    <row r="56" spans="1:9" ht="16.5" thickBot="1" x14ac:dyDescent="0.3">
      <c r="A56" s="781"/>
      <c r="B56" s="782"/>
      <c r="C56" s="782"/>
      <c r="D56" s="1301"/>
      <c r="E56" s="782"/>
      <c r="F56" s="783"/>
      <c r="G56" s="1301"/>
      <c r="H56" s="782"/>
      <c r="I56" s="784"/>
    </row>
    <row r="57" spans="1:9" ht="15.75" thickTop="1" x14ac:dyDescent="0.2"/>
  </sheetData>
  <mergeCells count="20">
    <mergeCell ref="Q6:T6"/>
    <mergeCell ref="B2:D2"/>
    <mergeCell ref="B3:D3"/>
    <mergeCell ref="M2:O2"/>
    <mergeCell ref="M3:O3"/>
    <mergeCell ref="Q5:T5"/>
    <mergeCell ref="F5:I5"/>
    <mergeCell ref="F6:I6"/>
    <mergeCell ref="A11:I11"/>
    <mergeCell ref="A12:I12"/>
    <mergeCell ref="A14:I14"/>
    <mergeCell ref="A41:I41"/>
    <mergeCell ref="A42:I42"/>
    <mergeCell ref="A44:I44"/>
    <mergeCell ref="A54:B54"/>
    <mergeCell ref="A38:B38"/>
    <mergeCell ref="A40:C40"/>
    <mergeCell ref="E16:G16"/>
    <mergeCell ref="C16:D16"/>
    <mergeCell ref="E46:G46"/>
  </mergeCells>
  <phoneticPr fontId="0" type="noConversion"/>
  <printOptions horizontalCentered="1"/>
  <pageMargins left="0.75" right="0.75" top="1" bottom="0.75" header="0.5" footer="0.5"/>
  <pageSetup scale="85" orientation="portrait" r:id="rId1"/>
  <headerFooter alignWithMargins="0">
    <oddFooter>&amp;L&amp;"Arial,Regular"&amp;6MONTHLY PRODUCTION / Wprod0614(Loc Rpt).xls
to: Nancy Martinez
cc: Pam Cook&amp;R&amp;"Arial,Regular"&amp;10&amp;D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H230"/>
  <sheetViews>
    <sheetView topLeftCell="A178" zoomScale="75" zoomScaleNormal="75" workbookViewId="0">
      <selection activeCell="M221" sqref="M221"/>
    </sheetView>
  </sheetViews>
  <sheetFormatPr defaultColWidth="9.875" defaultRowHeight="15.75" x14ac:dyDescent="0.25"/>
  <cols>
    <col min="1" max="1" width="5.875" style="1175" bestFit="1" customWidth="1"/>
    <col min="2" max="3" width="8.875" style="1175" customWidth="1"/>
    <col min="4" max="5" width="8.875" style="883" customWidth="1"/>
    <col min="6" max="6" width="9.5" style="883" customWidth="1"/>
    <col min="7" max="13" width="8.875" style="883" customWidth="1"/>
    <col min="14" max="15" width="9.875" style="883" customWidth="1"/>
    <col min="16" max="16" width="11.25" style="883" customWidth="1"/>
    <col min="17" max="17" width="5.875" style="883" bestFit="1" customWidth="1"/>
    <col min="18" max="21" width="8.875" style="883" customWidth="1"/>
    <col min="22" max="22" width="9" style="883" customWidth="1"/>
    <col min="23" max="26" width="8.875" style="883" customWidth="1"/>
    <col min="27" max="27" width="8.75" style="883" customWidth="1"/>
    <col min="28" max="29" width="8.875" style="883" customWidth="1"/>
    <col min="30" max="30" width="9.875" style="883" customWidth="1"/>
    <col min="31" max="31" width="9.375" style="883" customWidth="1"/>
    <col min="32" max="32" width="11.375" style="883" customWidth="1"/>
    <col min="33" max="33" width="9.125" style="883" customWidth="1"/>
    <col min="34" max="34" width="9.875" style="883" customWidth="1"/>
    <col min="35" max="16384" width="9.875" style="884"/>
  </cols>
  <sheetData>
    <row r="1" spans="1:33" ht="18" hidden="1" customHeight="1" x14ac:dyDescent="0.3">
      <c r="A1" s="873"/>
      <c r="B1" s="874"/>
      <c r="C1" s="874"/>
      <c r="D1" s="875"/>
      <c r="E1" s="876"/>
      <c r="F1" s="876"/>
      <c r="G1" s="876"/>
      <c r="H1" s="877" t="s">
        <v>47</v>
      </c>
      <c r="I1" s="875"/>
      <c r="J1" s="876"/>
      <c r="K1" s="876"/>
      <c r="L1" s="876"/>
      <c r="M1" s="876"/>
      <c r="N1" s="876"/>
      <c r="O1" s="875"/>
      <c r="P1" s="878"/>
      <c r="Q1" s="879"/>
      <c r="R1" s="880"/>
      <c r="S1" s="880"/>
      <c r="T1" s="880"/>
      <c r="U1" s="880"/>
      <c r="V1" s="881"/>
      <c r="W1" s="881"/>
      <c r="X1" s="1275" t="s">
        <v>47</v>
      </c>
      <c r="Y1" s="881"/>
      <c r="Z1" s="881"/>
      <c r="AA1" s="881"/>
      <c r="AB1" s="881"/>
      <c r="AC1" s="881"/>
      <c r="AD1" s="881"/>
      <c r="AE1" s="881"/>
      <c r="AF1" s="881"/>
      <c r="AG1" s="882"/>
    </row>
    <row r="2" spans="1:33" ht="18" hidden="1" customHeight="1" x14ac:dyDescent="0.3">
      <c r="A2" s="885"/>
      <c r="B2" s="886"/>
      <c r="C2" s="886"/>
      <c r="D2" s="887"/>
      <c r="E2" s="1216"/>
      <c r="F2" s="1216"/>
      <c r="G2" s="1216"/>
      <c r="H2" s="1274" t="s">
        <v>49</v>
      </c>
      <c r="I2" s="887"/>
      <c r="J2" s="1216"/>
      <c r="K2" s="1216"/>
      <c r="L2" s="1216"/>
      <c r="M2" s="1216"/>
      <c r="N2" s="1216"/>
      <c r="O2" s="887"/>
      <c r="P2" s="888"/>
      <c r="Q2" s="879"/>
      <c r="R2" s="880"/>
      <c r="S2" s="880"/>
      <c r="T2" s="880"/>
      <c r="U2" s="880"/>
      <c r="V2" s="881"/>
      <c r="W2" s="881"/>
      <c r="X2" s="1275" t="s">
        <v>322</v>
      </c>
      <c r="Y2" s="881"/>
      <c r="Z2" s="881"/>
      <c r="AA2" s="881"/>
      <c r="AB2" s="881"/>
      <c r="AC2" s="881"/>
      <c r="AD2" s="881"/>
      <c r="AE2" s="881"/>
      <c r="AF2" s="881"/>
      <c r="AG2" s="882"/>
    </row>
    <row r="3" spans="1:33" ht="18" hidden="1" customHeight="1" x14ac:dyDescent="0.25">
      <c r="A3" s="885"/>
      <c r="B3" s="886"/>
      <c r="C3" s="886"/>
      <c r="D3" s="887"/>
      <c r="E3" s="887"/>
      <c r="F3" s="887"/>
      <c r="G3" s="887"/>
      <c r="H3" s="889">
        <v>41640</v>
      </c>
      <c r="I3" s="887"/>
      <c r="J3" s="887"/>
      <c r="K3" s="887"/>
      <c r="L3" s="887"/>
      <c r="M3" s="887"/>
      <c r="N3" s="887"/>
      <c r="O3" s="887"/>
      <c r="P3" s="888"/>
      <c r="Q3" s="879"/>
      <c r="R3" s="880"/>
      <c r="S3" s="880"/>
      <c r="T3" s="880"/>
      <c r="U3" s="880"/>
      <c r="X3" s="890">
        <v>41640</v>
      </c>
      <c r="Z3" s="891"/>
      <c r="AA3" s="892"/>
      <c r="AB3" s="892"/>
      <c r="AC3" s="892"/>
      <c r="AG3" s="882"/>
    </row>
    <row r="4" spans="1:33" ht="18" hidden="1" customHeight="1" x14ac:dyDescent="0.25">
      <c r="A4" s="885"/>
      <c r="B4" s="886"/>
      <c r="C4" s="886"/>
      <c r="D4" s="893"/>
      <c r="E4" s="893"/>
      <c r="F4" s="893"/>
      <c r="G4" s="893"/>
      <c r="H4" s="887"/>
      <c r="I4" s="887"/>
      <c r="J4" s="894"/>
      <c r="K4" s="894"/>
      <c r="L4" s="894"/>
      <c r="M4" s="894"/>
      <c r="N4" s="894"/>
      <c r="O4" s="894"/>
      <c r="P4" s="895"/>
      <c r="Q4" s="879"/>
      <c r="R4" s="880"/>
      <c r="S4" s="880"/>
      <c r="T4" s="880"/>
      <c r="U4" s="880"/>
      <c r="X4" s="891"/>
      <c r="Z4" s="891"/>
      <c r="AG4" s="882"/>
    </row>
    <row r="5" spans="1:33" ht="16.350000000000001" hidden="1" customHeight="1" x14ac:dyDescent="0.25">
      <c r="A5" s="896"/>
      <c r="B5" s="897" t="s">
        <v>804</v>
      </c>
      <c r="C5" s="897"/>
      <c r="D5" s="897" t="s">
        <v>804</v>
      </c>
      <c r="E5" s="898"/>
      <c r="F5" s="897" t="s">
        <v>804</v>
      </c>
      <c r="G5" s="897"/>
      <c r="H5" s="897" t="s">
        <v>804</v>
      </c>
      <c r="I5" s="898"/>
      <c r="J5" s="897" t="s">
        <v>804</v>
      </c>
      <c r="K5" s="897"/>
      <c r="L5" s="897"/>
      <c r="M5" s="897"/>
      <c r="N5" s="897" t="s">
        <v>804</v>
      </c>
      <c r="O5" s="899"/>
      <c r="P5" s="900"/>
      <c r="Q5" s="882"/>
      <c r="R5" s="901" t="s">
        <v>804</v>
      </c>
      <c r="S5" s="881"/>
      <c r="T5" s="901" t="s">
        <v>804</v>
      </c>
      <c r="U5" s="881"/>
      <c r="V5" s="901" t="s">
        <v>804</v>
      </c>
      <c r="W5" s="881"/>
      <c r="X5" s="901" t="s">
        <v>805</v>
      </c>
      <c r="Y5" s="881"/>
      <c r="Z5" s="881"/>
      <c r="AA5" s="901" t="s">
        <v>805</v>
      </c>
      <c r="AB5" s="901"/>
      <c r="AC5" s="901"/>
      <c r="AD5" s="881"/>
      <c r="AE5" s="881"/>
      <c r="AF5" s="1216"/>
      <c r="AG5" s="882"/>
    </row>
    <row r="6" spans="1:33" ht="16.350000000000001" hidden="1" customHeight="1" x14ac:dyDescent="0.25">
      <c r="A6" s="885"/>
      <c r="B6" s="1674">
        <v>1995</v>
      </c>
      <c r="C6" s="1675"/>
      <c r="D6" s="1674">
        <v>1996</v>
      </c>
      <c r="E6" s="1675"/>
      <c r="F6" s="1674">
        <v>1997</v>
      </c>
      <c r="G6" s="1676"/>
      <c r="H6" s="1674">
        <v>1998</v>
      </c>
      <c r="I6" s="1675"/>
      <c r="J6" s="1674">
        <v>1999</v>
      </c>
      <c r="K6" s="1675"/>
      <c r="L6" s="1272"/>
      <c r="M6" s="1272"/>
      <c r="N6" s="1674">
        <v>2000</v>
      </c>
      <c r="O6" s="1675"/>
      <c r="P6" s="902"/>
      <c r="Q6" s="903"/>
      <c r="R6" s="904">
        <v>1995</v>
      </c>
      <c r="S6" s="905"/>
      <c r="T6" s="1674">
        <v>1996</v>
      </c>
      <c r="U6" s="1675"/>
      <c r="V6" s="1674">
        <v>1997</v>
      </c>
      <c r="W6" s="1675"/>
      <c r="X6" s="906">
        <v>1998</v>
      </c>
      <c r="Y6" s="907"/>
      <c r="Z6" s="908"/>
      <c r="AA6" s="1674">
        <v>1999</v>
      </c>
      <c r="AB6" s="1676"/>
      <c r="AC6" s="1676"/>
      <c r="AD6" s="1676"/>
      <c r="AE6" s="1675"/>
      <c r="AF6" s="909"/>
      <c r="AG6" s="882"/>
    </row>
    <row r="7" spans="1:33" ht="16.350000000000001" hidden="1" customHeight="1" x14ac:dyDescent="0.25">
      <c r="A7" s="910"/>
      <c r="B7" s="1271" t="s">
        <v>52</v>
      </c>
      <c r="C7" s="1217" t="s">
        <v>40</v>
      </c>
      <c r="D7" s="1271" t="s">
        <v>52</v>
      </c>
      <c r="E7" s="1273" t="s">
        <v>40</v>
      </c>
      <c r="F7" s="1271" t="s">
        <v>38</v>
      </c>
      <c r="G7" s="1273" t="s">
        <v>40</v>
      </c>
      <c r="H7" s="1271" t="s">
        <v>52</v>
      </c>
      <c r="I7" s="1273" t="s">
        <v>40</v>
      </c>
      <c r="J7" s="1271" t="s">
        <v>38</v>
      </c>
      <c r="K7" s="1217" t="s">
        <v>40</v>
      </c>
      <c r="L7" s="1217"/>
      <c r="M7" s="1217"/>
      <c r="N7" s="1271" t="s">
        <v>38</v>
      </c>
      <c r="O7" s="1217" t="s">
        <v>40</v>
      </c>
      <c r="P7" s="911"/>
      <c r="Q7" s="912"/>
      <c r="R7" s="913" t="s">
        <v>52</v>
      </c>
      <c r="S7" s="914" t="s">
        <v>40</v>
      </c>
      <c r="T7" s="913" t="s">
        <v>52</v>
      </c>
      <c r="U7" s="914" t="s">
        <v>40</v>
      </c>
      <c r="V7" s="913" t="s">
        <v>52</v>
      </c>
      <c r="W7" s="914" t="s">
        <v>40</v>
      </c>
      <c r="X7" s="913" t="s">
        <v>52</v>
      </c>
      <c r="Y7" s="915" t="s">
        <v>53</v>
      </c>
      <c r="Z7" s="914" t="s">
        <v>40</v>
      </c>
      <c r="AA7" s="913" t="s">
        <v>52</v>
      </c>
      <c r="AB7" s="913"/>
      <c r="AC7" s="913"/>
      <c r="AD7" s="916" t="s">
        <v>53</v>
      </c>
      <c r="AE7" s="917" t="s">
        <v>40</v>
      </c>
      <c r="AF7" s="918"/>
      <c r="AG7" s="882"/>
    </row>
    <row r="8" spans="1:33" ht="16.350000000000001" hidden="1" customHeight="1" x14ac:dyDescent="0.25">
      <c r="A8" s="919" t="s">
        <v>54</v>
      </c>
      <c r="B8" s="920">
        <v>102.3</v>
      </c>
      <c r="C8" s="921"/>
      <c r="D8" s="922">
        <v>33.299999999999997</v>
      </c>
      <c r="E8" s="923">
        <v>102.3</v>
      </c>
      <c r="F8" s="924">
        <v>2.95</v>
      </c>
      <c r="G8" s="925">
        <v>114.4</v>
      </c>
      <c r="H8" s="922">
        <v>148.85</v>
      </c>
      <c r="I8" s="923"/>
      <c r="J8" s="920">
        <v>10.64</v>
      </c>
      <c r="K8" s="921"/>
      <c r="L8" s="926"/>
      <c r="M8" s="926"/>
      <c r="N8" s="927">
        <f>TRUNC(213.26,1)</f>
        <v>213.2</v>
      </c>
      <c r="O8" s="928"/>
      <c r="P8" s="929" t="s">
        <v>54</v>
      </c>
      <c r="Q8" s="919" t="s">
        <v>54</v>
      </c>
      <c r="R8" s="924">
        <v>48.6</v>
      </c>
      <c r="S8" s="925"/>
      <c r="T8" s="922">
        <v>2.9</v>
      </c>
      <c r="U8" s="923">
        <v>100.6</v>
      </c>
      <c r="V8" s="920">
        <v>0.72</v>
      </c>
      <c r="W8" s="921">
        <v>32</v>
      </c>
      <c r="X8" s="922">
        <v>22.69</v>
      </c>
      <c r="Y8" s="930"/>
      <c r="Z8" s="930"/>
      <c r="AA8" s="924">
        <v>10.49</v>
      </c>
      <c r="AB8" s="931"/>
      <c r="AC8" s="931"/>
      <c r="AD8" s="931">
        <v>170.8</v>
      </c>
      <c r="AE8" s="925"/>
      <c r="AF8" s="932" t="s">
        <v>54</v>
      </c>
      <c r="AG8" s="882"/>
    </row>
    <row r="9" spans="1:33" ht="16.350000000000001" hidden="1" customHeight="1" x14ac:dyDescent="0.25">
      <c r="A9" s="919" t="s">
        <v>55</v>
      </c>
      <c r="B9" s="924">
        <v>85.4</v>
      </c>
      <c r="C9" s="925"/>
      <c r="D9" s="922">
        <v>18.2</v>
      </c>
      <c r="E9" s="923">
        <v>71.099999999999994</v>
      </c>
      <c r="F9" s="924">
        <v>0.39</v>
      </c>
      <c r="G9" s="925">
        <v>102</v>
      </c>
      <c r="H9" s="922">
        <v>124.19</v>
      </c>
      <c r="I9" s="923"/>
      <c r="J9" s="924">
        <v>58.25</v>
      </c>
      <c r="K9" s="925"/>
      <c r="L9" s="931"/>
      <c r="M9" s="931"/>
      <c r="N9" s="922">
        <f>TRUNC(138.91,1)</f>
        <v>138.9</v>
      </c>
      <c r="O9" s="923"/>
      <c r="P9" s="929" t="s">
        <v>55</v>
      </c>
      <c r="Q9" s="919" t="s">
        <v>55</v>
      </c>
      <c r="R9" s="924">
        <v>38.5</v>
      </c>
      <c r="S9" s="925"/>
      <c r="T9" s="922">
        <v>1.4</v>
      </c>
      <c r="U9" s="923">
        <v>44.8</v>
      </c>
      <c r="V9" s="924">
        <v>1.28</v>
      </c>
      <c r="W9" s="925">
        <v>74.5</v>
      </c>
      <c r="X9" s="922">
        <v>24.61</v>
      </c>
      <c r="Y9" s="930"/>
      <c r="Z9" s="930"/>
      <c r="AA9" s="924">
        <v>0.28999999999999998</v>
      </c>
      <c r="AB9" s="931"/>
      <c r="AC9" s="931"/>
      <c r="AD9" s="931">
        <v>85.6</v>
      </c>
      <c r="AE9" s="925"/>
      <c r="AF9" s="932" t="s">
        <v>55</v>
      </c>
      <c r="AG9" s="882"/>
    </row>
    <row r="10" spans="1:33" ht="16.350000000000001" hidden="1" customHeight="1" x14ac:dyDescent="0.25">
      <c r="A10" s="919" t="s">
        <v>58</v>
      </c>
      <c r="B10" s="924">
        <v>107.3</v>
      </c>
      <c r="C10" s="925"/>
      <c r="D10" s="922">
        <v>12.8</v>
      </c>
      <c r="E10" s="923">
        <v>107.3</v>
      </c>
      <c r="F10" s="924">
        <v>2.04</v>
      </c>
      <c r="G10" s="925">
        <v>143.5</v>
      </c>
      <c r="H10" s="922">
        <v>157.12</v>
      </c>
      <c r="I10" s="923"/>
      <c r="J10" s="924">
        <v>65.959999999999994</v>
      </c>
      <c r="K10" s="925"/>
      <c r="L10" s="931"/>
      <c r="M10" s="931"/>
      <c r="N10" s="922">
        <v>60.2</v>
      </c>
      <c r="O10" s="923"/>
      <c r="P10" s="929" t="s">
        <v>58</v>
      </c>
      <c r="Q10" s="919" t="s">
        <v>58</v>
      </c>
      <c r="R10" s="924">
        <v>41.6</v>
      </c>
      <c r="S10" s="925"/>
      <c r="T10" s="922">
        <v>0.1</v>
      </c>
      <c r="U10" s="923">
        <v>51</v>
      </c>
      <c r="V10" s="924">
        <v>63.02</v>
      </c>
      <c r="W10" s="925">
        <v>181.4</v>
      </c>
      <c r="X10" s="922">
        <v>40.99</v>
      </c>
      <c r="Y10" s="930"/>
      <c r="Z10" s="930"/>
      <c r="AA10" s="924">
        <v>0.88</v>
      </c>
      <c r="AB10" s="931"/>
      <c r="AC10" s="931"/>
      <c r="AD10" s="931">
        <v>107.6</v>
      </c>
      <c r="AE10" s="925"/>
      <c r="AF10" s="932" t="s">
        <v>58</v>
      </c>
      <c r="AG10" s="882"/>
    </row>
    <row r="11" spans="1:33" ht="16.350000000000001" hidden="1" customHeight="1" x14ac:dyDescent="0.25">
      <c r="A11" s="919" t="s">
        <v>61</v>
      </c>
      <c r="B11" s="924">
        <v>196.5</v>
      </c>
      <c r="C11" s="925"/>
      <c r="D11" s="922">
        <v>26.5</v>
      </c>
      <c r="E11" s="923">
        <v>191.4</v>
      </c>
      <c r="F11" s="924">
        <v>1.64</v>
      </c>
      <c r="G11" s="925">
        <v>204.3</v>
      </c>
      <c r="H11" s="922">
        <v>151.30000000000001</v>
      </c>
      <c r="I11" s="923"/>
      <c r="J11" s="924">
        <v>125.82</v>
      </c>
      <c r="K11" s="925"/>
      <c r="L11" s="931"/>
      <c r="M11" s="931"/>
      <c r="N11" s="922">
        <f>TRUNC(55.3,1)</f>
        <v>55.3</v>
      </c>
      <c r="O11" s="923">
        <v>130.6</v>
      </c>
      <c r="P11" s="929" t="s">
        <v>61</v>
      </c>
      <c r="Q11" s="919" t="s">
        <v>61</v>
      </c>
      <c r="R11" s="924">
        <v>123.5</v>
      </c>
      <c r="S11" s="925"/>
      <c r="T11" s="922">
        <v>6.4</v>
      </c>
      <c r="U11" s="923">
        <v>133.1</v>
      </c>
      <c r="V11" s="924">
        <v>67.39</v>
      </c>
      <c r="W11" s="925">
        <v>202.5</v>
      </c>
      <c r="X11" s="922">
        <v>66.83</v>
      </c>
      <c r="Y11" s="930"/>
      <c r="Z11" s="930"/>
      <c r="AA11" s="924">
        <v>0.3</v>
      </c>
      <c r="AB11" s="931"/>
      <c r="AC11" s="931"/>
      <c r="AD11" s="931">
        <v>120.7</v>
      </c>
      <c r="AE11" s="925"/>
      <c r="AF11" s="932" t="s">
        <v>61</v>
      </c>
      <c r="AG11" s="882"/>
    </row>
    <row r="12" spans="1:33" ht="16.350000000000001" hidden="1" customHeight="1" x14ac:dyDescent="0.25">
      <c r="A12" s="919" t="s">
        <v>63</v>
      </c>
      <c r="B12" s="924">
        <v>245.5</v>
      </c>
      <c r="C12" s="925"/>
      <c r="D12" s="922">
        <v>24.5</v>
      </c>
      <c r="E12" s="923">
        <v>245.5</v>
      </c>
      <c r="F12" s="924">
        <v>64.62</v>
      </c>
      <c r="G12" s="925">
        <v>214.6</v>
      </c>
      <c r="H12" s="922">
        <v>43.33</v>
      </c>
      <c r="I12" s="923">
        <v>126.1</v>
      </c>
      <c r="J12" s="924">
        <v>259.83</v>
      </c>
      <c r="K12" s="925"/>
      <c r="L12" s="931"/>
      <c r="M12" s="931"/>
      <c r="N12" s="922">
        <f>TRUNC(1.12,1)</f>
        <v>1.1000000000000001</v>
      </c>
      <c r="O12" s="923">
        <v>240.4</v>
      </c>
      <c r="P12" s="929" t="s">
        <v>63</v>
      </c>
      <c r="Q12" s="919" t="s">
        <v>63</v>
      </c>
      <c r="R12" s="924">
        <v>165.8</v>
      </c>
      <c r="S12" s="925"/>
      <c r="T12" s="922">
        <v>31</v>
      </c>
      <c r="U12" s="923">
        <v>214.6</v>
      </c>
      <c r="V12" s="924">
        <v>72.75</v>
      </c>
      <c r="W12" s="925">
        <v>229.5</v>
      </c>
      <c r="X12" s="922">
        <v>51.64</v>
      </c>
      <c r="Y12" s="930"/>
      <c r="Z12" s="930">
        <v>84.7</v>
      </c>
      <c r="AA12" s="924">
        <v>9.1999999999999993</v>
      </c>
      <c r="AB12" s="931"/>
      <c r="AC12" s="931"/>
      <c r="AD12" s="931">
        <v>271.10000000000002</v>
      </c>
      <c r="AE12" s="925"/>
      <c r="AF12" s="932" t="s">
        <v>63</v>
      </c>
      <c r="AG12" s="882"/>
    </row>
    <row r="13" spans="1:33" ht="16.350000000000001" hidden="1" customHeight="1" x14ac:dyDescent="0.25">
      <c r="A13" s="933" t="s">
        <v>65</v>
      </c>
      <c r="B13" s="934">
        <v>267</v>
      </c>
      <c r="C13" s="935"/>
      <c r="D13" s="936">
        <v>5.9</v>
      </c>
      <c r="E13" s="937">
        <v>267</v>
      </c>
      <c r="F13" s="934">
        <v>8.44</v>
      </c>
      <c r="G13" s="935">
        <v>290.7</v>
      </c>
      <c r="H13" s="936">
        <v>16.29</v>
      </c>
      <c r="I13" s="937">
        <v>304.7</v>
      </c>
      <c r="J13" s="934">
        <v>329.22</v>
      </c>
      <c r="K13" s="935"/>
      <c r="L13" s="938"/>
      <c r="M13" s="938"/>
      <c r="N13" s="936">
        <f>TRUNC(2.95,1)</f>
        <v>2.9</v>
      </c>
      <c r="O13" s="937">
        <v>272.2</v>
      </c>
      <c r="P13" s="939" t="s">
        <v>65</v>
      </c>
      <c r="Q13" s="933" t="s">
        <v>65</v>
      </c>
      <c r="R13" s="934">
        <v>174.1</v>
      </c>
      <c r="S13" s="935"/>
      <c r="T13" s="936">
        <v>24.9</v>
      </c>
      <c r="U13" s="937">
        <v>263.8</v>
      </c>
      <c r="V13" s="934">
        <v>15.66</v>
      </c>
      <c r="W13" s="935">
        <v>290.3</v>
      </c>
      <c r="X13" s="936">
        <v>0.18</v>
      </c>
      <c r="Y13" s="940"/>
      <c r="Z13" s="940">
        <v>225</v>
      </c>
      <c r="AA13" s="924">
        <v>21.07</v>
      </c>
      <c r="AB13" s="931"/>
      <c r="AC13" s="931"/>
      <c r="AD13" s="931">
        <v>264.2</v>
      </c>
      <c r="AE13" s="925"/>
      <c r="AF13" s="941" t="s">
        <v>65</v>
      </c>
      <c r="AG13" s="882"/>
    </row>
    <row r="14" spans="1:33" ht="16.350000000000001" hidden="1" customHeight="1" x14ac:dyDescent="0.25">
      <c r="A14" s="919" t="s">
        <v>67</v>
      </c>
      <c r="B14" s="924">
        <v>269.60000000000002</v>
      </c>
      <c r="C14" s="925"/>
      <c r="D14" s="922">
        <v>5.19</v>
      </c>
      <c r="E14" s="923">
        <v>303.39999999999998</v>
      </c>
      <c r="F14" s="924">
        <v>143.85</v>
      </c>
      <c r="G14" s="925">
        <v>190.4</v>
      </c>
      <c r="H14" s="922">
        <v>109.53</v>
      </c>
      <c r="I14" s="923">
        <v>197.5</v>
      </c>
      <c r="J14" s="924">
        <v>343.96</v>
      </c>
      <c r="K14" s="925"/>
      <c r="L14" s="931"/>
      <c r="M14" s="931"/>
      <c r="N14" s="922">
        <v>0.2</v>
      </c>
      <c r="O14" s="923">
        <v>289.10000000000002</v>
      </c>
      <c r="P14" s="929" t="s">
        <v>67</v>
      </c>
      <c r="Q14" s="919" t="s">
        <v>67</v>
      </c>
      <c r="R14" s="924">
        <v>260.7</v>
      </c>
      <c r="S14" s="925"/>
      <c r="T14" s="922">
        <v>39.15</v>
      </c>
      <c r="U14" s="923">
        <v>284.7</v>
      </c>
      <c r="V14" s="924">
        <v>17.28</v>
      </c>
      <c r="W14" s="925">
        <v>310</v>
      </c>
      <c r="X14" s="922">
        <v>84.79</v>
      </c>
      <c r="Y14" s="930"/>
      <c r="Z14" s="930">
        <v>234.2</v>
      </c>
      <c r="AA14" s="920">
        <v>43.01</v>
      </c>
      <c r="AB14" s="926"/>
      <c r="AC14" s="926"/>
      <c r="AD14" s="926">
        <v>286.8</v>
      </c>
      <c r="AE14" s="921"/>
      <c r="AF14" s="932" t="s">
        <v>67</v>
      </c>
      <c r="AG14" s="882"/>
    </row>
    <row r="15" spans="1:33" ht="16.350000000000001" hidden="1" customHeight="1" x14ac:dyDescent="0.25">
      <c r="A15" s="919" t="s">
        <v>62</v>
      </c>
      <c r="B15" s="924">
        <v>333.2</v>
      </c>
      <c r="C15" s="925"/>
      <c r="D15" s="922">
        <v>3.86</v>
      </c>
      <c r="E15" s="923">
        <v>311.3</v>
      </c>
      <c r="F15" s="924">
        <v>80.319999999999993</v>
      </c>
      <c r="G15" s="925">
        <v>235.7</v>
      </c>
      <c r="H15" s="922">
        <v>321.73</v>
      </c>
      <c r="I15" s="923"/>
      <c r="J15" s="924">
        <v>324.24</v>
      </c>
      <c r="K15" s="925"/>
      <c r="L15" s="931"/>
      <c r="M15" s="931"/>
      <c r="N15" s="922">
        <f>TRUNC(9.93,1)</f>
        <v>9.9</v>
      </c>
      <c r="O15" s="923">
        <v>279</v>
      </c>
      <c r="P15" s="929" t="s">
        <v>62</v>
      </c>
      <c r="Q15" s="919" t="s">
        <v>62</v>
      </c>
      <c r="R15" s="924">
        <v>298.5</v>
      </c>
      <c r="S15" s="925"/>
      <c r="T15" s="922">
        <v>57.3</v>
      </c>
      <c r="U15" s="923">
        <v>279.8</v>
      </c>
      <c r="V15" s="924">
        <v>23.94</v>
      </c>
      <c r="W15" s="925">
        <v>318.7</v>
      </c>
      <c r="X15" s="922">
        <v>190.93</v>
      </c>
      <c r="Y15" s="930"/>
      <c r="Z15" s="930"/>
      <c r="AA15" s="924">
        <v>41.44</v>
      </c>
      <c r="AB15" s="931"/>
      <c r="AC15" s="931"/>
      <c r="AD15" s="931">
        <v>301.89999999999998</v>
      </c>
      <c r="AE15" s="925"/>
      <c r="AF15" s="932" t="s">
        <v>62</v>
      </c>
      <c r="AG15" s="882"/>
    </row>
    <row r="16" spans="1:33" ht="16.350000000000001" hidden="1" customHeight="1" x14ac:dyDescent="0.25">
      <c r="A16" s="919" t="s">
        <v>64</v>
      </c>
      <c r="B16" s="924">
        <v>334.6</v>
      </c>
      <c r="C16" s="925"/>
      <c r="D16" s="922">
        <v>19.149999999999999</v>
      </c>
      <c r="E16" s="923">
        <v>274</v>
      </c>
      <c r="F16" s="924">
        <v>60.56</v>
      </c>
      <c r="G16" s="925">
        <v>231.9</v>
      </c>
      <c r="H16" s="922">
        <v>295.14999999999998</v>
      </c>
      <c r="I16" s="923"/>
      <c r="J16" s="924">
        <v>283.39999999999998</v>
      </c>
      <c r="K16" s="925"/>
      <c r="L16" s="931"/>
      <c r="M16" s="931"/>
      <c r="N16" s="922">
        <v>0.1</v>
      </c>
      <c r="O16" s="923">
        <v>243.6</v>
      </c>
      <c r="P16" s="929" t="s">
        <v>64</v>
      </c>
      <c r="Q16" s="919" t="s">
        <v>64</v>
      </c>
      <c r="R16" s="924">
        <v>276.8</v>
      </c>
      <c r="S16" s="925"/>
      <c r="T16" s="922">
        <v>33.78</v>
      </c>
      <c r="U16" s="923">
        <v>282.2</v>
      </c>
      <c r="V16" s="924">
        <v>20.88</v>
      </c>
      <c r="W16" s="925">
        <v>294.5</v>
      </c>
      <c r="X16" s="922">
        <v>155.83000000000001</v>
      </c>
      <c r="Y16" s="930"/>
      <c r="Z16" s="930"/>
      <c r="AA16" s="924">
        <v>23.23</v>
      </c>
      <c r="AB16" s="931"/>
      <c r="AC16" s="931"/>
      <c r="AD16" s="931">
        <v>257.39999999999998</v>
      </c>
      <c r="AE16" s="925"/>
      <c r="AF16" s="932" t="s">
        <v>64</v>
      </c>
      <c r="AG16" s="882"/>
    </row>
    <row r="17" spans="1:33" ht="16.350000000000001" hidden="1" customHeight="1" x14ac:dyDescent="0.25">
      <c r="A17" s="919" t="s">
        <v>66</v>
      </c>
      <c r="B17" s="924">
        <v>238</v>
      </c>
      <c r="C17" s="925">
        <v>67.3</v>
      </c>
      <c r="D17" s="922">
        <v>22.82</v>
      </c>
      <c r="E17" s="923">
        <v>233.2</v>
      </c>
      <c r="F17" s="924">
        <v>340.65</v>
      </c>
      <c r="G17" s="925"/>
      <c r="H17" s="922">
        <v>296.76</v>
      </c>
      <c r="I17" s="923"/>
      <c r="J17" s="924">
        <v>321.79000000000002</v>
      </c>
      <c r="K17" s="925"/>
      <c r="L17" s="931"/>
      <c r="M17" s="931"/>
      <c r="N17" s="922">
        <f>TRUNC(25.86,1)</f>
        <v>25.8</v>
      </c>
      <c r="O17" s="923">
        <v>215.8</v>
      </c>
      <c r="P17" s="929" t="s">
        <v>66</v>
      </c>
      <c r="Q17" s="919" t="s">
        <v>66</v>
      </c>
      <c r="R17" s="924">
        <v>121.1</v>
      </c>
      <c r="S17" s="925">
        <v>118.4</v>
      </c>
      <c r="T17" s="922">
        <v>22.89</v>
      </c>
      <c r="U17" s="923">
        <v>263.3</v>
      </c>
      <c r="V17" s="924">
        <v>170.13</v>
      </c>
      <c r="W17" s="925"/>
      <c r="X17" s="922">
        <v>166</v>
      </c>
      <c r="Y17" s="930">
        <v>110.2</v>
      </c>
      <c r="Z17" s="930"/>
      <c r="AA17" s="924">
        <v>61.61</v>
      </c>
      <c r="AB17" s="931"/>
      <c r="AC17" s="931"/>
      <c r="AD17" s="931">
        <v>133.9</v>
      </c>
      <c r="AE17" s="925"/>
      <c r="AF17" s="932" t="s">
        <v>66</v>
      </c>
      <c r="AG17" s="882"/>
    </row>
    <row r="18" spans="1:33" ht="16.350000000000001" hidden="1" customHeight="1" x14ac:dyDescent="0.25">
      <c r="A18" s="919" t="s">
        <v>56</v>
      </c>
      <c r="B18" s="924">
        <v>69.900000000000006</v>
      </c>
      <c r="C18" s="925">
        <v>70.8</v>
      </c>
      <c r="D18" s="922">
        <v>0.24</v>
      </c>
      <c r="E18" s="923">
        <v>174.3</v>
      </c>
      <c r="F18" s="924">
        <v>203.18</v>
      </c>
      <c r="G18" s="925"/>
      <c r="H18" s="922">
        <v>174.34</v>
      </c>
      <c r="I18" s="923"/>
      <c r="J18" s="924">
        <v>195.44</v>
      </c>
      <c r="K18" s="925"/>
      <c r="L18" s="931"/>
      <c r="M18" s="931"/>
      <c r="N18" s="922">
        <v>0.5</v>
      </c>
      <c r="O18" s="923">
        <v>164.1</v>
      </c>
      <c r="P18" s="929" t="s">
        <v>56</v>
      </c>
      <c r="Q18" s="919" t="s">
        <v>56</v>
      </c>
      <c r="R18" s="924">
        <v>12.6</v>
      </c>
      <c r="S18" s="925">
        <v>142.9</v>
      </c>
      <c r="T18" s="922">
        <v>7.19</v>
      </c>
      <c r="U18" s="923">
        <v>117.1</v>
      </c>
      <c r="V18" s="924">
        <v>73.400000000000006</v>
      </c>
      <c r="W18" s="925"/>
      <c r="X18" s="922">
        <v>88.44</v>
      </c>
      <c r="Y18" s="930">
        <v>92.9</v>
      </c>
      <c r="Z18" s="930"/>
      <c r="AA18" s="924">
        <v>47.42</v>
      </c>
      <c r="AB18" s="931"/>
      <c r="AC18" s="931"/>
      <c r="AD18" s="931">
        <v>0</v>
      </c>
      <c r="AE18" s="925"/>
      <c r="AF18" s="932" t="s">
        <v>56</v>
      </c>
      <c r="AG18" s="882"/>
    </row>
    <row r="19" spans="1:33" ht="16.350000000000001" hidden="1" customHeight="1" x14ac:dyDescent="0.25">
      <c r="A19" s="933" t="s">
        <v>59</v>
      </c>
      <c r="B19" s="934">
        <v>26.2</v>
      </c>
      <c r="C19" s="935">
        <v>137.9</v>
      </c>
      <c r="D19" s="936">
        <v>1.1399999999999999</v>
      </c>
      <c r="E19" s="937">
        <v>114.5</v>
      </c>
      <c r="F19" s="934">
        <v>120.13</v>
      </c>
      <c r="G19" s="935"/>
      <c r="H19" s="936">
        <v>16.5</v>
      </c>
      <c r="I19" s="937"/>
      <c r="J19" s="934">
        <v>279.76</v>
      </c>
      <c r="K19" s="935"/>
      <c r="L19" s="938"/>
      <c r="M19" s="1437">
        <v>69</v>
      </c>
      <c r="N19" s="936">
        <v>0.3</v>
      </c>
      <c r="O19" s="937">
        <v>36.200000000000003</v>
      </c>
      <c r="P19" s="939" t="s">
        <v>59</v>
      </c>
      <c r="Q19" s="933" t="s">
        <v>59</v>
      </c>
      <c r="R19" s="934">
        <v>8.4</v>
      </c>
      <c r="S19" s="935">
        <v>100.8</v>
      </c>
      <c r="T19" s="936">
        <v>0.32</v>
      </c>
      <c r="U19" s="937">
        <v>52.6</v>
      </c>
      <c r="V19" s="934">
        <v>102.74</v>
      </c>
      <c r="W19" s="935"/>
      <c r="X19" s="936">
        <v>8.17</v>
      </c>
      <c r="Y19" s="940">
        <v>166.9</v>
      </c>
      <c r="Z19" s="940"/>
      <c r="AA19" s="934">
        <v>156.38999999999999</v>
      </c>
      <c r="AB19" s="938"/>
      <c r="AC19" s="938"/>
      <c r="AD19" s="938">
        <v>0</v>
      </c>
      <c r="AE19" s="935"/>
      <c r="AF19" s="941" t="s">
        <v>59</v>
      </c>
      <c r="AG19" s="882"/>
    </row>
    <row r="20" spans="1:33" ht="16.350000000000001" hidden="1" customHeight="1" x14ac:dyDescent="0.25">
      <c r="A20" s="885"/>
      <c r="B20" s="942">
        <f>SUM(B8:B19)</f>
        <v>2275.5</v>
      </c>
      <c r="C20" s="943">
        <f>SUM(C8:C19)</f>
        <v>276</v>
      </c>
      <c r="D20" s="944">
        <f t="shared" ref="D20:J20" si="0">SUM(D8:D19)</f>
        <v>173.6</v>
      </c>
      <c r="E20" s="945">
        <f t="shared" si="0"/>
        <v>2395.3000000000002</v>
      </c>
      <c r="F20" s="946">
        <f t="shared" si="0"/>
        <v>1028.77</v>
      </c>
      <c r="G20" s="947">
        <f t="shared" si="0"/>
        <v>1727.5000000000002</v>
      </c>
      <c r="H20" s="944">
        <f t="shared" si="0"/>
        <v>1855.0900000000001</v>
      </c>
      <c r="I20" s="945">
        <f t="shared" si="0"/>
        <v>628.29999999999995</v>
      </c>
      <c r="J20" s="948">
        <f t="shared" si="0"/>
        <v>2598.3100000000004</v>
      </c>
      <c r="K20" s="949">
        <v>0</v>
      </c>
      <c r="L20" s="950"/>
      <c r="M20" s="950"/>
      <c r="N20" s="948">
        <f>SUM(N8:N19)</f>
        <v>508.40000000000003</v>
      </c>
      <c r="O20" s="949">
        <f>SUM(O8:O19)</f>
        <v>1871</v>
      </c>
      <c r="P20" s="902"/>
      <c r="Q20" s="951"/>
      <c r="R20" s="946">
        <f t="shared" ref="R20:Z20" si="1">SUM(R8:R19)</f>
        <v>1570.1999999999998</v>
      </c>
      <c r="S20" s="947">
        <f t="shared" si="1"/>
        <v>362.1</v>
      </c>
      <c r="T20" s="944">
        <f t="shared" si="1"/>
        <v>227.32999999999998</v>
      </c>
      <c r="U20" s="945">
        <f t="shared" si="1"/>
        <v>2087.6</v>
      </c>
      <c r="V20" s="946">
        <f t="shared" si="1"/>
        <v>629.19000000000005</v>
      </c>
      <c r="W20" s="947">
        <f t="shared" si="1"/>
        <v>1933.4</v>
      </c>
      <c r="X20" s="944">
        <f t="shared" si="1"/>
        <v>901.1</v>
      </c>
      <c r="Y20" s="952">
        <f t="shared" si="1"/>
        <v>370</v>
      </c>
      <c r="Z20" s="952">
        <f t="shared" si="1"/>
        <v>543.9</v>
      </c>
      <c r="AA20" s="946">
        <f>SUM(AA8:AA19)</f>
        <v>415.33</v>
      </c>
      <c r="AB20" s="953"/>
      <c r="AC20" s="953"/>
      <c r="AD20" s="953">
        <f>SUM(AD8:AD19)</f>
        <v>2000</v>
      </c>
      <c r="AE20" s="947"/>
      <c r="AF20" s="954"/>
      <c r="AG20" s="882"/>
    </row>
    <row r="21" spans="1:33" ht="16.350000000000001" hidden="1" customHeight="1" x14ac:dyDescent="0.25">
      <c r="A21" s="955"/>
      <c r="B21" s="956"/>
      <c r="C21" s="956">
        <f>SUM(B8:B19)+SUM(C8:C19)</f>
        <v>2551.5</v>
      </c>
      <c r="D21" s="957"/>
      <c r="E21" s="958">
        <f>SUM(D8:D19)+SUM(E8:E19)</f>
        <v>2568.9</v>
      </c>
      <c r="F21" s="959" t="s">
        <v>4</v>
      </c>
      <c r="G21" s="960">
        <f>SUM(F8:F19)+SUM(G8:G19)</f>
        <v>2756.2700000000004</v>
      </c>
      <c r="H21" s="961"/>
      <c r="I21" s="958">
        <f>SUM(H8:H19)+SUM(I8:I19)</f>
        <v>2483.3900000000003</v>
      </c>
      <c r="J21" s="962" t="s">
        <v>577</v>
      </c>
      <c r="K21" s="960">
        <f>SUM(J8:K19)</f>
        <v>2598.3100000000004</v>
      </c>
      <c r="L21" s="963"/>
      <c r="M21" s="963"/>
      <c r="N21" s="962" t="s">
        <v>577</v>
      </c>
      <c r="O21" s="960">
        <f>SUM(N8:N19,O8:O19)</f>
        <v>2379.3999999999996</v>
      </c>
      <c r="P21" s="964"/>
      <c r="Q21" s="965"/>
      <c r="R21" s="966" t="s">
        <v>4</v>
      </c>
      <c r="S21" s="967">
        <f>SUM(R8:R19)+SUM(S8:S19)</f>
        <v>1932.2999999999997</v>
      </c>
      <c r="T21" s="968"/>
      <c r="U21" s="969"/>
      <c r="V21" s="966">
        <f>T20+U20+V20</f>
        <v>2944.12</v>
      </c>
      <c r="W21" s="967">
        <f>SUM(V8:V19)+SUM(W8:W19)</f>
        <v>2562.59</v>
      </c>
      <c r="X21" s="968"/>
      <c r="Y21" s="970">
        <f>V20+X20+Y20</f>
        <v>1900.29</v>
      </c>
      <c r="Z21" s="970"/>
      <c r="AA21" s="966"/>
      <c r="AB21" s="971"/>
      <c r="AC21" s="971"/>
      <c r="AD21" s="971"/>
      <c r="AE21" s="967">
        <f>AA20+AD20+AE20</f>
        <v>2415.33</v>
      </c>
      <c r="AF21" s="972"/>
      <c r="AG21" s="882"/>
    </row>
    <row r="22" spans="1:33" ht="16.350000000000001" hidden="1" customHeight="1" x14ac:dyDescent="0.25">
      <c r="A22" s="973"/>
      <c r="B22" s="887"/>
      <c r="C22" s="887"/>
      <c r="D22" s="887"/>
      <c r="E22" s="887"/>
      <c r="F22" s="887"/>
      <c r="G22" s="887"/>
      <c r="H22" s="887"/>
      <c r="I22" s="887"/>
      <c r="J22" s="887"/>
      <c r="K22" s="887"/>
      <c r="L22" s="887"/>
      <c r="M22" s="887"/>
      <c r="N22" s="887"/>
      <c r="O22" s="887"/>
      <c r="P22" s="974"/>
      <c r="Q22" s="882"/>
      <c r="R22" s="887"/>
      <c r="S22" s="887"/>
      <c r="T22" s="887"/>
      <c r="U22" s="887"/>
      <c r="V22" s="887"/>
      <c r="W22" s="887"/>
      <c r="X22" s="887"/>
      <c r="Y22" s="887"/>
      <c r="Z22" s="887"/>
      <c r="AA22" s="887"/>
      <c r="AB22" s="887"/>
      <c r="AC22" s="887"/>
      <c r="AD22" s="887"/>
      <c r="AE22" s="887"/>
      <c r="AG22" s="882"/>
    </row>
    <row r="23" spans="1:33" ht="16.350000000000001" hidden="1" customHeight="1" x14ac:dyDescent="0.25">
      <c r="A23" s="896"/>
      <c r="B23" s="898" t="s">
        <v>51</v>
      </c>
      <c r="C23" s="898"/>
      <c r="D23" s="898" t="s">
        <v>51</v>
      </c>
      <c r="E23" s="898"/>
      <c r="F23" s="898" t="s">
        <v>51</v>
      </c>
      <c r="G23" s="898"/>
      <c r="H23" s="898" t="s">
        <v>51</v>
      </c>
      <c r="I23" s="898"/>
      <c r="J23" s="898" t="s">
        <v>51</v>
      </c>
      <c r="K23" s="898"/>
      <c r="L23" s="898"/>
      <c r="M23" s="898"/>
      <c r="N23" s="898" t="s">
        <v>51</v>
      </c>
      <c r="O23" s="899"/>
      <c r="P23" s="975"/>
      <c r="Q23" s="882"/>
      <c r="R23" s="976" t="s">
        <v>51</v>
      </c>
      <c r="S23" s="976"/>
      <c r="T23" s="976" t="s">
        <v>51</v>
      </c>
      <c r="U23" s="976"/>
      <c r="V23" s="976" t="s">
        <v>51</v>
      </c>
      <c r="W23" s="976"/>
      <c r="X23" s="976" t="s">
        <v>51</v>
      </c>
      <c r="Y23" s="976"/>
      <c r="Z23" s="977"/>
      <c r="AA23" s="978" t="s">
        <v>51</v>
      </c>
      <c r="AB23" s="978"/>
      <c r="AC23" s="978"/>
      <c r="AD23" s="977"/>
      <c r="AE23" s="977"/>
      <c r="AG23" s="882"/>
    </row>
    <row r="24" spans="1:33" ht="16.350000000000001" hidden="1" customHeight="1" x14ac:dyDescent="0.25">
      <c r="A24" s="979"/>
      <c r="B24" s="904">
        <v>1995</v>
      </c>
      <c r="C24" s="980"/>
      <c r="D24" s="904">
        <v>1996</v>
      </c>
      <c r="E24" s="980"/>
      <c r="F24" s="904">
        <v>1997</v>
      </c>
      <c r="G24" s="980"/>
      <c r="H24" s="904">
        <v>1998</v>
      </c>
      <c r="I24" s="981"/>
      <c r="J24" s="904">
        <v>1999</v>
      </c>
      <c r="K24" s="981"/>
      <c r="L24" s="982"/>
      <c r="M24" s="982"/>
      <c r="N24" s="904">
        <v>2000</v>
      </c>
      <c r="O24" s="981"/>
      <c r="P24" s="911"/>
      <c r="Q24" s="983"/>
      <c r="R24" s="1674">
        <v>1995</v>
      </c>
      <c r="S24" s="1675"/>
      <c r="T24" s="1674">
        <v>1996</v>
      </c>
      <c r="U24" s="1675"/>
      <c r="V24" s="1680">
        <v>1997</v>
      </c>
      <c r="W24" s="1682"/>
      <c r="X24" s="1691">
        <v>1998</v>
      </c>
      <c r="Y24" s="1692"/>
      <c r="Z24" s="1693"/>
      <c r="AA24" s="984">
        <v>1999</v>
      </c>
      <c r="AB24" s="985"/>
      <c r="AC24" s="985"/>
      <c r="AD24" s="985"/>
      <c r="AE24" s="986"/>
      <c r="AF24" s="987"/>
      <c r="AG24" s="882"/>
    </row>
    <row r="25" spans="1:33" ht="16.350000000000001" hidden="1" customHeight="1" x14ac:dyDescent="0.25">
      <c r="A25" s="919" t="s">
        <v>54</v>
      </c>
      <c r="B25" s="920">
        <v>196.1</v>
      </c>
      <c r="C25" s="988"/>
      <c r="D25" s="927">
        <v>419.6</v>
      </c>
      <c r="E25" s="989" t="s">
        <v>341</v>
      </c>
      <c r="F25" s="920">
        <v>241.7</v>
      </c>
      <c r="G25" s="990" t="s">
        <v>329</v>
      </c>
      <c r="H25" s="927">
        <v>317</v>
      </c>
      <c r="I25" s="928"/>
      <c r="J25" s="920">
        <v>730</v>
      </c>
      <c r="K25" s="921"/>
      <c r="L25" s="926"/>
      <c r="M25" s="926"/>
      <c r="N25" s="927">
        <v>512.5</v>
      </c>
      <c r="O25" s="928"/>
      <c r="P25" s="929" t="s">
        <v>54</v>
      </c>
      <c r="Q25" s="919" t="s">
        <v>54</v>
      </c>
      <c r="R25" s="920">
        <v>10.9</v>
      </c>
      <c r="S25" s="921"/>
      <c r="T25" s="927">
        <v>20.6</v>
      </c>
      <c r="U25" s="989" t="s">
        <v>777</v>
      </c>
      <c r="V25" s="920">
        <v>0</v>
      </c>
      <c r="W25" s="990" t="s">
        <v>789</v>
      </c>
      <c r="X25" s="927">
        <v>18.5</v>
      </c>
      <c r="Y25" s="991"/>
      <c r="Z25" s="989"/>
      <c r="AA25" s="920">
        <v>0</v>
      </c>
      <c r="AB25" s="926"/>
      <c r="AC25" s="926"/>
      <c r="AD25" s="992" t="s">
        <v>69</v>
      </c>
      <c r="AE25" s="993"/>
      <c r="AF25" s="932" t="s">
        <v>54</v>
      </c>
      <c r="AG25" s="882"/>
    </row>
    <row r="26" spans="1:33" ht="16.350000000000001" hidden="1" customHeight="1" x14ac:dyDescent="0.25">
      <c r="A26" s="919" t="s">
        <v>55</v>
      </c>
      <c r="B26" s="924">
        <v>261.5</v>
      </c>
      <c r="C26" s="994"/>
      <c r="D26" s="922">
        <v>271.7</v>
      </c>
      <c r="E26" s="995"/>
      <c r="F26" s="924">
        <v>349.3</v>
      </c>
      <c r="G26" s="996" t="s">
        <v>330</v>
      </c>
      <c r="H26" s="922">
        <v>172.2</v>
      </c>
      <c r="I26" s="923"/>
      <c r="J26" s="924">
        <v>408.4</v>
      </c>
      <c r="K26" s="925"/>
      <c r="L26" s="931"/>
      <c r="M26" s="931"/>
      <c r="N26" s="922">
        <v>230.8</v>
      </c>
      <c r="O26" s="923"/>
      <c r="P26" s="929" t="s">
        <v>55</v>
      </c>
      <c r="Q26" s="919" t="s">
        <v>55</v>
      </c>
      <c r="R26" s="924">
        <v>3.4</v>
      </c>
      <c r="S26" s="925"/>
      <c r="T26" s="922">
        <v>3.2</v>
      </c>
      <c r="U26" s="997" t="s">
        <v>778</v>
      </c>
      <c r="V26" s="924">
        <v>0</v>
      </c>
      <c r="W26" s="996" t="s">
        <v>790</v>
      </c>
      <c r="X26" s="922">
        <v>9.1999999999999993</v>
      </c>
      <c r="Y26" s="998"/>
      <c r="Z26" s="997"/>
      <c r="AA26" s="924">
        <v>0</v>
      </c>
      <c r="AB26" s="931"/>
      <c r="AC26" s="931"/>
      <c r="AD26" s="894" t="s">
        <v>70</v>
      </c>
      <c r="AE26" s="895"/>
      <c r="AF26" s="932" t="s">
        <v>55</v>
      </c>
      <c r="AG26" s="882"/>
    </row>
    <row r="27" spans="1:33" ht="16.350000000000001" hidden="1" customHeight="1" x14ac:dyDescent="0.25">
      <c r="A27" s="919" t="s">
        <v>58</v>
      </c>
      <c r="B27" s="924">
        <v>209.4</v>
      </c>
      <c r="C27" s="994"/>
      <c r="D27" s="922">
        <v>310</v>
      </c>
      <c r="E27" s="995"/>
      <c r="F27" s="924">
        <v>730.2</v>
      </c>
      <c r="G27" s="996" t="s">
        <v>331</v>
      </c>
      <c r="H27" s="922">
        <v>220.9</v>
      </c>
      <c r="I27" s="923"/>
      <c r="J27" s="924">
        <v>498.2</v>
      </c>
      <c r="K27" s="925"/>
      <c r="L27" s="931"/>
      <c r="M27" s="931"/>
      <c r="N27" s="922">
        <v>360.5</v>
      </c>
      <c r="O27" s="923"/>
      <c r="P27" s="929" t="s">
        <v>58</v>
      </c>
      <c r="Q27" s="919" t="s">
        <v>58</v>
      </c>
      <c r="R27" s="924">
        <v>3.6</v>
      </c>
      <c r="S27" s="925"/>
      <c r="T27" s="922">
        <v>6.1</v>
      </c>
      <c r="U27" s="997" t="s">
        <v>779</v>
      </c>
      <c r="V27" s="924">
        <v>0</v>
      </c>
      <c r="W27" s="996" t="s">
        <v>791</v>
      </c>
      <c r="X27" s="922">
        <v>13.2</v>
      </c>
      <c r="Y27" s="998"/>
      <c r="Z27" s="997"/>
      <c r="AA27" s="924">
        <v>0</v>
      </c>
      <c r="AB27" s="931"/>
      <c r="AC27" s="931"/>
      <c r="AD27" s="894" t="s">
        <v>71</v>
      </c>
      <c r="AE27" s="895"/>
      <c r="AF27" s="932" t="s">
        <v>58</v>
      </c>
      <c r="AG27" s="882"/>
    </row>
    <row r="28" spans="1:33" ht="16.350000000000001" hidden="1" customHeight="1" x14ac:dyDescent="0.25">
      <c r="A28" s="919" t="s">
        <v>61</v>
      </c>
      <c r="B28" s="924">
        <v>509.9</v>
      </c>
      <c r="C28" s="994"/>
      <c r="D28" s="922">
        <v>565.29999999999995</v>
      </c>
      <c r="E28" s="995"/>
      <c r="F28" s="924">
        <f>1004-G11</f>
        <v>799.7</v>
      </c>
      <c r="G28" s="996" t="s">
        <v>332</v>
      </c>
      <c r="H28" s="922">
        <v>324.39999999999998</v>
      </c>
      <c r="I28" s="923"/>
      <c r="J28" s="924">
        <v>523.20000000000005</v>
      </c>
      <c r="K28" s="925"/>
      <c r="L28" s="931"/>
      <c r="M28" s="931"/>
      <c r="N28" s="922">
        <f>797.9-130.6</f>
        <v>667.3</v>
      </c>
      <c r="O28" s="997" t="s">
        <v>185</v>
      </c>
      <c r="P28" s="929" t="s">
        <v>61</v>
      </c>
      <c r="Q28" s="919" t="s">
        <v>61</v>
      </c>
      <c r="R28" s="924">
        <v>14.2</v>
      </c>
      <c r="S28" s="925"/>
      <c r="T28" s="922">
        <v>31.7</v>
      </c>
      <c r="U28" s="997" t="s">
        <v>780</v>
      </c>
      <c r="V28" s="924">
        <v>13.8</v>
      </c>
      <c r="W28" s="996" t="s">
        <v>792</v>
      </c>
      <c r="X28" s="922">
        <v>24.6</v>
      </c>
      <c r="Y28" s="998"/>
      <c r="Z28" s="997"/>
      <c r="AA28" s="924">
        <v>0</v>
      </c>
      <c r="AB28" s="931"/>
      <c r="AC28" s="931"/>
      <c r="AD28" s="894" t="s">
        <v>72</v>
      </c>
      <c r="AE28" s="895"/>
      <c r="AF28" s="932" t="s">
        <v>61</v>
      </c>
      <c r="AG28" s="882"/>
    </row>
    <row r="29" spans="1:33" ht="16.350000000000001" hidden="1" customHeight="1" x14ac:dyDescent="0.25">
      <c r="A29" s="919" t="s">
        <v>63</v>
      </c>
      <c r="B29" s="924">
        <v>557.70000000000005</v>
      </c>
      <c r="C29" s="994"/>
      <c r="D29" s="922">
        <v>883.1</v>
      </c>
      <c r="E29" s="995"/>
      <c r="F29" s="924">
        <f>1082.1-G12</f>
        <v>867.49999999999989</v>
      </c>
      <c r="G29" s="996" t="s">
        <v>333</v>
      </c>
      <c r="H29" s="922">
        <f>580.4-I12</f>
        <v>454.29999999999995</v>
      </c>
      <c r="I29" s="997" t="s">
        <v>338</v>
      </c>
      <c r="J29" s="924">
        <v>815.2</v>
      </c>
      <c r="K29" s="925"/>
      <c r="L29" s="931"/>
      <c r="M29" s="931"/>
      <c r="N29" s="922">
        <f>1113.9-240.4</f>
        <v>873.50000000000011</v>
      </c>
      <c r="O29" s="997" t="s">
        <v>213</v>
      </c>
      <c r="P29" s="929" t="s">
        <v>63</v>
      </c>
      <c r="Q29" s="919" t="s">
        <v>63</v>
      </c>
      <c r="R29" s="924">
        <v>17.100000000000001</v>
      </c>
      <c r="S29" s="925"/>
      <c r="T29" s="922">
        <v>58.6</v>
      </c>
      <c r="U29" s="997" t="s">
        <v>781</v>
      </c>
      <c r="V29" s="924">
        <v>2.7</v>
      </c>
      <c r="W29" s="996" t="s">
        <v>793</v>
      </c>
      <c r="X29" s="922">
        <v>0</v>
      </c>
      <c r="Y29" s="998"/>
      <c r="Z29" s="997" t="s">
        <v>799</v>
      </c>
      <c r="AA29" s="924">
        <v>0</v>
      </c>
      <c r="AB29" s="931"/>
      <c r="AC29" s="931"/>
      <c r="AD29" s="894" t="s">
        <v>74</v>
      </c>
      <c r="AE29" s="895"/>
      <c r="AF29" s="932" t="s">
        <v>63</v>
      </c>
      <c r="AG29" s="882"/>
    </row>
    <row r="30" spans="1:33" ht="16.350000000000001" hidden="1" customHeight="1" x14ac:dyDescent="0.25">
      <c r="A30" s="933" t="s">
        <v>65</v>
      </c>
      <c r="B30" s="934">
        <v>712</v>
      </c>
      <c r="C30" s="999"/>
      <c r="D30" s="936">
        <v>960.9</v>
      </c>
      <c r="E30" s="1000"/>
      <c r="F30" s="934">
        <f>1155.7-G13</f>
        <v>865</v>
      </c>
      <c r="G30" s="1001" t="s">
        <v>334</v>
      </c>
      <c r="H30" s="936">
        <f>1169.2-I13</f>
        <v>864.5</v>
      </c>
      <c r="I30" s="1002" t="s">
        <v>339</v>
      </c>
      <c r="J30" s="934">
        <v>807.3</v>
      </c>
      <c r="K30" s="935"/>
      <c r="L30" s="938"/>
      <c r="M30" s="938"/>
      <c r="N30" s="936">
        <f>1316-272.2</f>
        <v>1043.8</v>
      </c>
      <c r="O30" s="1002" t="s">
        <v>186</v>
      </c>
      <c r="P30" s="939" t="s">
        <v>65</v>
      </c>
      <c r="Q30" s="933" t="s">
        <v>65</v>
      </c>
      <c r="R30" s="934">
        <v>69</v>
      </c>
      <c r="S30" s="935"/>
      <c r="T30" s="936">
        <v>19.399999999999999</v>
      </c>
      <c r="U30" s="1002" t="s">
        <v>782</v>
      </c>
      <c r="V30" s="934">
        <v>-15.9</v>
      </c>
      <c r="W30" s="1001" t="s">
        <v>794</v>
      </c>
      <c r="X30" s="936">
        <v>0</v>
      </c>
      <c r="Y30" s="1003"/>
      <c r="Z30" s="1002" t="s">
        <v>798</v>
      </c>
      <c r="AA30" s="934">
        <f>264.2-264.2</f>
        <v>0</v>
      </c>
      <c r="AB30" s="938"/>
      <c r="AC30" s="938"/>
      <c r="AD30" s="1004" t="s">
        <v>75</v>
      </c>
      <c r="AE30" s="1005"/>
      <c r="AF30" s="941" t="s">
        <v>65</v>
      </c>
      <c r="AG30" s="882"/>
    </row>
    <row r="31" spans="1:33" ht="16.350000000000001" hidden="1" customHeight="1" x14ac:dyDescent="0.25">
      <c r="A31" s="919" t="s">
        <v>67</v>
      </c>
      <c r="B31" s="924">
        <v>913.3</v>
      </c>
      <c r="C31" s="994"/>
      <c r="D31" s="922">
        <v>963.4</v>
      </c>
      <c r="E31" s="995"/>
      <c r="F31" s="924">
        <f>1240.4-G14</f>
        <v>1050</v>
      </c>
      <c r="G31" s="996" t="s">
        <v>335</v>
      </c>
      <c r="H31" s="922">
        <f>912.7-I14</f>
        <v>715.2</v>
      </c>
      <c r="I31" s="997" t="s">
        <v>340</v>
      </c>
      <c r="J31" s="924">
        <v>962.8</v>
      </c>
      <c r="K31" s="925"/>
      <c r="L31" s="931"/>
      <c r="M31" s="931"/>
      <c r="N31" s="922">
        <f>1384.1-289</f>
        <v>1095.0999999999999</v>
      </c>
      <c r="O31" s="997" t="s">
        <v>214</v>
      </c>
      <c r="P31" s="929" t="s">
        <v>67</v>
      </c>
      <c r="Q31" s="919" t="s">
        <v>67</v>
      </c>
      <c r="R31" s="924">
        <v>46.9</v>
      </c>
      <c r="S31" s="925"/>
      <c r="T31" s="922">
        <v>0</v>
      </c>
      <c r="U31" s="997" t="s">
        <v>783</v>
      </c>
      <c r="V31" s="924">
        <v>0.5</v>
      </c>
      <c r="W31" s="1006" t="s">
        <v>795</v>
      </c>
      <c r="X31" s="927">
        <v>0</v>
      </c>
      <c r="Y31" s="991"/>
      <c r="Z31" s="989" t="s">
        <v>800</v>
      </c>
      <c r="AA31" s="926">
        <f>264.2-264.2</f>
        <v>0</v>
      </c>
      <c r="AB31" s="926"/>
      <c r="AC31" s="926"/>
      <c r="AD31" s="992" t="s">
        <v>76</v>
      </c>
      <c r="AE31" s="993"/>
      <c r="AF31" s="932" t="s">
        <v>67</v>
      </c>
      <c r="AG31" s="882"/>
    </row>
    <row r="32" spans="1:33" ht="16.350000000000001" hidden="1" customHeight="1" x14ac:dyDescent="0.25">
      <c r="A32" s="919" t="s">
        <v>62</v>
      </c>
      <c r="B32" s="924">
        <v>991.1</v>
      </c>
      <c r="C32" s="994"/>
      <c r="D32" s="922">
        <v>961.7</v>
      </c>
      <c r="E32" s="995"/>
      <c r="F32" s="924">
        <f>1239.41-G15</f>
        <v>1003.71</v>
      </c>
      <c r="G32" s="996" t="s">
        <v>336</v>
      </c>
      <c r="H32" s="922">
        <v>976.1</v>
      </c>
      <c r="I32" s="923"/>
      <c r="J32" s="924">
        <v>994.1</v>
      </c>
      <c r="K32" s="925"/>
      <c r="L32" s="931"/>
      <c r="M32" s="931"/>
      <c r="N32" s="922">
        <f>1396-279</f>
        <v>1117</v>
      </c>
      <c r="O32" s="997" t="s">
        <v>196</v>
      </c>
      <c r="P32" s="929" t="s">
        <v>62</v>
      </c>
      <c r="Q32" s="919" t="s">
        <v>62</v>
      </c>
      <c r="R32" s="924">
        <v>26.2</v>
      </c>
      <c r="S32" s="925"/>
      <c r="T32" s="922">
        <v>0</v>
      </c>
      <c r="U32" s="997" t="s">
        <v>784</v>
      </c>
      <c r="V32" s="924">
        <v>2.6</v>
      </c>
      <c r="W32" s="1006" t="s">
        <v>797</v>
      </c>
      <c r="X32" s="922">
        <v>139.30000000000001</v>
      </c>
      <c r="Y32" s="998"/>
      <c r="Z32" s="997"/>
      <c r="AA32" s="931">
        <v>0</v>
      </c>
      <c r="AB32" s="931"/>
      <c r="AC32" s="931"/>
      <c r="AD32" s="894" t="s">
        <v>77</v>
      </c>
      <c r="AE32" s="895"/>
      <c r="AF32" s="932" t="s">
        <v>62</v>
      </c>
      <c r="AG32" s="882"/>
    </row>
    <row r="33" spans="1:33" ht="16.350000000000001" hidden="1" customHeight="1" x14ac:dyDescent="0.25">
      <c r="A33" s="919" t="s">
        <v>64</v>
      </c>
      <c r="B33" s="924">
        <v>911.6</v>
      </c>
      <c r="C33" s="994"/>
      <c r="D33" s="922">
        <v>887.8</v>
      </c>
      <c r="E33" s="995"/>
      <c r="F33" s="924">
        <f>1175.8-G16</f>
        <v>943.9</v>
      </c>
      <c r="G33" s="996" t="s">
        <v>337</v>
      </c>
      <c r="H33" s="922">
        <v>749.7</v>
      </c>
      <c r="I33" s="923"/>
      <c r="J33" s="924">
        <v>831.6</v>
      </c>
      <c r="K33" s="925"/>
      <c r="L33" s="931"/>
      <c r="M33" s="931"/>
      <c r="N33" s="922">
        <f>1222.3-243.6</f>
        <v>978.69999999999993</v>
      </c>
      <c r="O33" s="997" t="s">
        <v>200</v>
      </c>
      <c r="P33" s="929" t="s">
        <v>64</v>
      </c>
      <c r="Q33" s="919" t="s">
        <v>64</v>
      </c>
      <c r="R33" s="924">
        <v>21</v>
      </c>
      <c r="S33" s="925"/>
      <c r="T33" s="922">
        <v>0</v>
      </c>
      <c r="U33" s="997" t="s">
        <v>785</v>
      </c>
      <c r="V33" s="924">
        <v>2</v>
      </c>
      <c r="W33" s="1006" t="s">
        <v>796</v>
      </c>
      <c r="X33" s="922">
        <v>107.4</v>
      </c>
      <c r="Y33" s="998"/>
      <c r="Z33" s="997"/>
      <c r="AA33" s="931">
        <v>0</v>
      </c>
      <c r="AB33" s="931"/>
      <c r="AC33" s="931"/>
      <c r="AD33" s="894" t="s">
        <v>78</v>
      </c>
      <c r="AE33" s="895"/>
      <c r="AF33" s="932" t="s">
        <v>64</v>
      </c>
      <c r="AG33" s="882"/>
    </row>
    <row r="34" spans="1:33" ht="16.350000000000001" hidden="1" customHeight="1" x14ac:dyDescent="0.25">
      <c r="A34" s="919" t="s">
        <v>66</v>
      </c>
      <c r="B34" s="924">
        <v>795.7</v>
      </c>
      <c r="C34" s="994"/>
      <c r="D34" s="922">
        <v>743.4</v>
      </c>
      <c r="E34" s="995"/>
      <c r="F34" s="924">
        <v>776.9</v>
      </c>
      <c r="G34" s="996"/>
      <c r="H34" s="922">
        <v>750.9</v>
      </c>
      <c r="I34" s="923"/>
      <c r="J34" s="924">
        <v>906.4</v>
      </c>
      <c r="K34" s="925"/>
      <c r="L34" s="931"/>
      <c r="M34" s="931"/>
      <c r="N34" s="922">
        <f>954.3-215.8</f>
        <v>738.5</v>
      </c>
      <c r="O34" s="997" t="s">
        <v>203</v>
      </c>
      <c r="P34" s="929" t="s">
        <v>66</v>
      </c>
      <c r="Q34" s="919" t="s">
        <v>66</v>
      </c>
      <c r="R34" s="924">
        <v>51.3</v>
      </c>
      <c r="S34" s="996" t="s">
        <v>774</v>
      </c>
      <c r="T34" s="922">
        <v>0</v>
      </c>
      <c r="U34" s="997" t="s">
        <v>786</v>
      </c>
      <c r="V34" s="924">
        <v>151</v>
      </c>
      <c r="W34" s="1006"/>
      <c r="X34" s="922">
        <v>0</v>
      </c>
      <c r="Y34" s="998" t="s">
        <v>801</v>
      </c>
      <c r="Z34" s="997"/>
      <c r="AA34" s="931">
        <v>151.4</v>
      </c>
      <c r="AB34" s="931"/>
      <c r="AC34" s="931"/>
      <c r="AD34" s="894" t="s">
        <v>176</v>
      </c>
      <c r="AE34" s="895"/>
      <c r="AF34" s="932" t="s">
        <v>66</v>
      </c>
      <c r="AG34" s="882"/>
    </row>
    <row r="35" spans="1:33" ht="16.350000000000001" hidden="1" customHeight="1" x14ac:dyDescent="0.25">
      <c r="A35" s="919" t="s">
        <v>56</v>
      </c>
      <c r="B35" s="924">
        <v>678.4</v>
      </c>
      <c r="C35" s="994"/>
      <c r="D35" s="922">
        <v>411.2</v>
      </c>
      <c r="E35" s="995"/>
      <c r="F35" s="924">
        <v>515.6</v>
      </c>
      <c r="G35" s="996"/>
      <c r="H35" s="922">
        <v>579.9</v>
      </c>
      <c r="I35" s="923"/>
      <c r="J35" s="924">
        <v>561.9</v>
      </c>
      <c r="K35" s="925"/>
      <c r="L35" s="931"/>
      <c r="M35" s="931"/>
      <c r="N35" s="922">
        <f>826.2-164.1</f>
        <v>662.1</v>
      </c>
      <c r="O35" s="997" t="s">
        <v>209</v>
      </c>
      <c r="P35" s="929" t="s">
        <v>56</v>
      </c>
      <c r="Q35" s="919" t="s">
        <v>56</v>
      </c>
      <c r="R35" s="924">
        <v>70.400000000000006</v>
      </c>
      <c r="S35" s="996" t="s">
        <v>775</v>
      </c>
      <c r="T35" s="922">
        <v>0</v>
      </c>
      <c r="U35" s="997" t="s">
        <v>787</v>
      </c>
      <c r="V35" s="924">
        <v>63.6</v>
      </c>
      <c r="W35" s="1006"/>
      <c r="X35" s="922">
        <v>0</v>
      </c>
      <c r="Y35" s="998" t="s">
        <v>802</v>
      </c>
      <c r="Z35" s="1007"/>
      <c r="AA35" s="931">
        <v>111.2</v>
      </c>
      <c r="AB35" s="931"/>
      <c r="AC35" s="931"/>
      <c r="AD35" s="894" t="s">
        <v>351</v>
      </c>
      <c r="AE35" s="895"/>
      <c r="AF35" s="932" t="s">
        <v>56</v>
      </c>
      <c r="AG35" s="882"/>
    </row>
    <row r="36" spans="1:33" ht="16.350000000000001" hidden="1" customHeight="1" x14ac:dyDescent="0.25">
      <c r="A36" s="933" t="s">
        <v>59</v>
      </c>
      <c r="B36" s="934">
        <v>398.2</v>
      </c>
      <c r="C36" s="999"/>
      <c r="D36" s="936">
        <v>306.7</v>
      </c>
      <c r="E36" s="1000"/>
      <c r="F36" s="934">
        <v>342.3</v>
      </c>
      <c r="G36" s="1001"/>
      <c r="H36" s="936">
        <v>689.5</v>
      </c>
      <c r="I36" s="937"/>
      <c r="J36" s="934">
        <v>672.3</v>
      </c>
      <c r="K36" s="935"/>
      <c r="L36" s="938"/>
      <c r="M36" s="938"/>
      <c r="N36" s="936">
        <f>852-36.2</f>
        <v>815.8</v>
      </c>
      <c r="O36" s="1002" t="s">
        <v>234</v>
      </c>
      <c r="P36" s="939" t="s">
        <v>59</v>
      </c>
      <c r="Q36" s="933" t="s">
        <v>59</v>
      </c>
      <c r="R36" s="934">
        <v>4.7</v>
      </c>
      <c r="S36" s="1001" t="s">
        <v>776</v>
      </c>
      <c r="T36" s="936">
        <v>0</v>
      </c>
      <c r="U36" s="1002" t="s">
        <v>788</v>
      </c>
      <c r="V36" s="1008">
        <v>22.4</v>
      </c>
      <c r="W36" s="1009"/>
      <c r="X36" s="936">
        <v>0</v>
      </c>
      <c r="Y36" s="1003" t="s">
        <v>803</v>
      </c>
      <c r="Z36" s="1002"/>
      <c r="AA36" s="938">
        <v>118.6</v>
      </c>
      <c r="AB36" s="938"/>
      <c r="AC36" s="938"/>
      <c r="AD36" s="1004" t="s">
        <v>352</v>
      </c>
      <c r="AE36" s="1005"/>
      <c r="AF36" s="941" t="s">
        <v>59</v>
      </c>
      <c r="AG36" s="882"/>
    </row>
    <row r="37" spans="1:33" ht="16.350000000000001" hidden="1" customHeight="1" x14ac:dyDescent="0.25">
      <c r="A37" s="1010"/>
      <c r="B37" s="942">
        <f>SUM(B25:B36)+SUM(C25:C36)</f>
        <v>7134.9000000000005</v>
      </c>
      <c r="C37" s="943"/>
      <c r="D37" s="1011">
        <f>SUM(D25:D36)+SUM(E25:E36)</f>
        <v>7684.7999999999993</v>
      </c>
      <c r="E37" s="1012"/>
      <c r="F37" s="942">
        <f>SUM(F25:F36)</f>
        <v>8485.81</v>
      </c>
      <c r="G37" s="935"/>
      <c r="H37" s="1011">
        <f>SUM(H25:H36)</f>
        <v>6814.5999999999995</v>
      </c>
      <c r="I37" s="1012"/>
      <c r="J37" s="942">
        <f>SUM(J25:J36)</f>
        <v>8711.4</v>
      </c>
      <c r="K37" s="943"/>
      <c r="L37" s="1013"/>
      <c r="M37" s="1013"/>
      <c r="N37" s="942">
        <f>SUM(N25:N36)</f>
        <v>9095.5999999999985</v>
      </c>
      <c r="O37" s="943"/>
      <c r="P37" s="1014"/>
      <c r="Q37" s="1010"/>
      <c r="R37" s="942">
        <f>SUM(R25:R36)</f>
        <v>338.7</v>
      </c>
      <c r="S37" s="935"/>
      <c r="T37" s="1011">
        <f>SUM(T25:T36)</f>
        <v>139.6</v>
      </c>
      <c r="U37" s="1012"/>
      <c r="V37" s="942">
        <f>SUM(V25:V36)</f>
        <v>242.7</v>
      </c>
      <c r="W37" s="935"/>
      <c r="X37" s="1011">
        <f>SUM(X25:X36)</f>
        <v>312.20000000000005</v>
      </c>
      <c r="Y37" s="1015"/>
      <c r="Z37" s="1000"/>
      <c r="AA37" s="1016">
        <f>SUM(AA25:AA36)</f>
        <v>381.20000000000005</v>
      </c>
      <c r="AB37" s="1017"/>
      <c r="AC37" s="1017"/>
      <c r="AD37" s="1018"/>
      <c r="AE37" s="1019"/>
      <c r="AF37" s="1020"/>
      <c r="AG37" s="882"/>
    </row>
    <row r="38" spans="1:33" ht="16.350000000000001" hidden="1" customHeight="1" x14ac:dyDescent="0.25">
      <c r="A38" s="1021" t="s">
        <v>4</v>
      </c>
      <c r="B38" s="893"/>
      <c r="C38" s="893"/>
      <c r="D38" s="893"/>
      <c r="E38" s="893"/>
      <c r="F38" s="893"/>
      <c r="G38" s="893"/>
      <c r="H38" s="893"/>
      <c r="I38" s="893"/>
      <c r="J38" s="893"/>
      <c r="K38" s="893"/>
      <c r="L38" s="893"/>
      <c r="M38" s="893"/>
      <c r="N38" s="887"/>
      <c r="O38" s="1022"/>
      <c r="P38" s="1023" t="s">
        <v>4</v>
      </c>
      <c r="Q38" s="1024" t="s">
        <v>4</v>
      </c>
      <c r="R38" s="1025"/>
      <c r="S38" s="893"/>
      <c r="T38" s="1025"/>
      <c r="U38" s="886"/>
      <c r="V38" s="886"/>
      <c r="W38" s="893"/>
      <c r="X38" s="1025"/>
      <c r="Y38" s="886"/>
      <c r="Z38" s="886"/>
      <c r="AA38" s="1026"/>
      <c r="AB38" s="1026"/>
      <c r="AC38" s="1026"/>
      <c r="AE38" s="887"/>
      <c r="AF38" s="1027" t="s">
        <v>4</v>
      </c>
      <c r="AG38" s="882"/>
    </row>
    <row r="39" spans="1:33" ht="16.350000000000001" hidden="1" customHeight="1" x14ac:dyDescent="0.25">
      <c r="A39" s="1021"/>
      <c r="B39" s="893"/>
      <c r="C39" s="893"/>
      <c r="D39" s="893"/>
      <c r="E39" s="893"/>
      <c r="F39" s="893"/>
      <c r="G39" s="893"/>
      <c r="H39" s="893"/>
      <c r="I39" s="893"/>
      <c r="J39" s="893"/>
      <c r="K39" s="893"/>
      <c r="L39" s="893"/>
      <c r="M39" s="893"/>
      <c r="N39" s="887"/>
      <c r="O39" s="1022"/>
      <c r="P39" s="1023"/>
      <c r="Q39" s="1024"/>
      <c r="R39" s="1025"/>
      <c r="S39" s="893"/>
      <c r="T39" s="1025"/>
      <c r="U39" s="886"/>
      <c r="V39" s="886"/>
      <c r="W39" s="893"/>
      <c r="X39" s="1025"/>
      <c r="Y39" s="886"/>
      <c r="Z39" s="886"/>
      <c r="AA39" s="1026"/>
      <c r="AB39" s="1026"/>
      <c r="AC39" s="1026"/>
      <c r="AE39" s="887"/>
      <c r="AF39" s="1027"/>
      <c r="AG39" s="882"/>
    </row>
    <row r="40" spans="1:33" ht="16.350000000000001" hidden="1" customHeight="1" x14ac:dyDescent="0.25">
      <c r="A40" s="1028"/>
      <c r="B40" s="898" t="s">
        <v>30</v>
      </c>
      <c r="C40" s="898"/>
      <c r="D40" s="898" t="s">
        <v>30</v>
      </c>
      <c r="E40" s="898"/>
      <c r="F40" s="898" t="s">
        <v>30</v>
      </c>
      <c r="G40" s="898"/>
      <c r="H40" s="898" t="s">
        <v>30</v>
      </c>
      <c r="I40" s="898"/>
      <c r="J40" s="898" t="s">
        <v>30</v>
      </c>
      <c r="K40" s="898"/>
      <c r="L40" s="898"/>
      <c r="M40" s="898"/>
      <c r="N40" s="898" t="s">
        <v>30</v>
      </c>
      <c r="O40" s="899"/>
      <c r="P40" s="900"/>
      <c r="Q40" s="879"/>
      <c r="R40" s="976" t="s">
        <v>30</v>
      </c>
      <c r="S40" s="976"/>
      <c r="T40" s="976" t="s">
        <v>30</v>
      </c>
      <c r="U40" s="1216"/>
      <c r="V40" s="976" t="s">
        <v>30</v>
      </c>
      <c r="W40" s="976"/>
      <c r="X40" s="976" t="s">
        <v>30</v>
      </c>
      <c r="Y40" s="1216"/>
      <c r="Z40" s="1216"/>
      <c r="AA40" s="898" t="s">
        <v>30</v>
      </c>
      <c r="AB40" s="898"/>
      <c r="AC40" s="898"/>
      <c r="AD40" s="1216"/>
      <c r="AE40" s="1216"/>
      <c r="AF40" s="1025"/>
      <c r="AG40" s="882"/>
    </row>
    <row r="41" spans="1:33" ht="16.350000000000001" hidden="1" customHeight="1" x14ac:dyDescent="0.25">
      <c r="A41" s="1029"/>
      <c r="B41" s="1674">
        <v>1995</v>
      </c>
      <c r="C41" s="1675"/>
      <c r="D41" s="1674">
        <v>1996</v>
      </c>
      <c r="E41" s="1675"/>
      <c r="F41" s="1674">
        <v>1997</v>
      </c>
      <c r="G41" s="1675"/>
      <c r="H41" s="1674">
        <v>1998</v>
      </c>
      <c r="I41" s="1675"/>
      <c r="J41" s="1674">
        <v>1999</v>
      </c>
      <c r="K41" s="1675"/>
      <c r="L41" s="1272"/>
      <c r="M41" s="1272"/>
      <c r="N41" s="1674">
        <v>2000</v>
      </c>
      <c r="O41" s="1676"/>
      <c r="P41" s="911"/>
      <c r="Q41" s="983"/>
      <c r="R41" s="1674">
        <v>1995</v>
      </c>
      <c r="S41" s="1675"/>
      <c r="T41" s="1688">
        <v>1996</v>
      </c>
      <c r="U41" s="1689"/>
      <c r="V41" s="1680">
        <v>1997</v>
      </c>
      <c r="W41" s="1682"/>
      <c r="X41" s="1688">
        <v>1998</v>
      </c>
      <c r="Y41" s="1690"/>
      <c r="Z41" s="1689"/>
      <c r="AA41" s="904">
        <v>1999</v>
      </c>
      <c r="AB41" s="982"/>
      <c r="AC41" s="982"/>
      <c r="AD41" s="1030"/>
      <c r="AE41" s="1031"/>
      <c r="AF41" s="987"/>
      <c r="AG41" s="882"/>
    </row>
    <row r="42" spans="1:33" ht="16.350000000000001" hidden="1" customHeight="1" x14ac:dyDescent="0.25">
      <c r="A42" s="919" t="s">
        <v>54</v>
      </c>
      <c r="B42" s="924">
        <f t="shared" ref="B42:B53" si="2">B8+C8+B25</f>
        <v>298.39999999999998</v>
      </c>
      <c r="C42" s="925"/>
      <c r="D42" s="922">
        <f t="shared" ref="D42:D53" si="3">D8+E8+D25</f>
        <v>555.20000000000005</v>
      </c>
      <c r="E42" s="923"/>
      <c r="F42" s="924">
        <v>359.05</v>
      </c>
      <c r="G42" s="925"/>
      <c r="H42" s="922">
        <f>H8+H25</f>
        <v>465.85</v>
      </c>
      <c r="I42" s="923"/>
      <c r="J42" s="920">
        <f>J8+J25</f>
        <v>740.64</v>
      </c>
      <c r="K42" s="921"/>
      <c r="L42" s="926"/>
      <c r="M42" s="926"/>
      <c r="N42" s="927">
        <f>N8+O8+N25</f>
        <v>725.7</v>
      </c>
      <c r="O42" s="928"/>
      <c r="P42" s="929" t="s">
        <v>54</v>
      </c>
      <c r="Q42" s="919" t="s">
        <v>54</v>
      </c>
      <c r="R42" s="920">
        <f>R8+S8+R25</f>
        <v>59.5</v>
      </c>
      <c r="S42" s="926"/>
      <c r="T42" s="927">
        <f>T8+U8+T25</f>
        <v>124.1</v>
      </c>
      <c r="U42" s="1032"/>
      <c r="V42" s="920">
        <f>V8+W8+V25</f>
        <v>32.72</v>
      </c>
      <c r="W42" s="921"/>
      <c r="X42" s="927">
        <f>X8+Y8+Z8+X25</f>
        <v>41.19</v>
      </c>
      <c r="Y42" s="1032"/>
      <c r="Z42" s="928"/>
      <c r="AA42" s="920">
        <f t="shared" ref="AA42:AA53" si="4">AA25+AA8+AD8</f>
        <v>181.29000000000002</v>
      </c>
      <c r="AB42" s="926"/>
      <c r="AC42" s="926"/>
      <c r="AD42" s="926"/>
      <c r="AE42" s="921"/>
      <c r="AF42" s="932" t="s">
        <v>54</v>
      </c>
      <c r="AG42" s="882"/>
    </row>
    <row r="43" spans="1:33" ht="16.350000000000001" hidden="1" customHeight="1" x14ac:dyDescent="0.25">
      <c r="A43" s="919" t="s">
        <v>55</v>
      </c>
      <c r="B43" s="924">
        <f t="shared" si="2"/>
        <v>346.9</v>
      </c>
      <c r="C43" s="925"/>
      <c r="D43" s="922">
        <f t="shared" si="3"/>
        <v>361</v>
      </c>
      <c r="E43" s="923"/>
      <c r="F43" s="924">
        <v>451.69</v>
      </c>
      <c r="G43" s="925"/>
      <c r="H43" s="922">
        <f>H9+H26</f>
        <v>296.39</v>
      </c>
      <c r="I43" s="923"/>
      <c r="J43" s="924">
        <f>J9+J26</f>
        <v>466.65</v>
      </c>
      <c r="K43" s="925"/>
      <c r="L43" s="931"/>
      <c r="M43" s="931"/>
      <c r="N43" s="922">
        <f t="shared" ref="N43:N53" si="5">N9+O9+N26</f>
        <v>369.70000000000005</v>
      </c>
      <c r="O43" s="923"/>
      <c r="P43" s="929" t="s">
        <v>55</v>
      </c>
      <c r="Q43" s="919" t="s">
        <v>55</v>
      </c>
      <c r="R43" s="924">
        <f t="shared" ref="R43:R53" si="6">R9+S9+R26</f>
        <v>41.9</v>
      </c>
      <c r="S43" s="931"/>
      <c r="T43" s="922">
        <f t="shared" ref="T43:T53" si="7">T9+U9+T26</f>
        <v>49.4</v>
      </c>
      <c r="U43" s="930"/>
      <c r="V43" s="924">
        <f t="shared" ref="V43:V53" si="8">V9+W9+V26</f>
        <v>75.78</v>
      </c>
      <c r="W43" s="925"/>
      <c r="X43" s="922">
        <f t="shared" ref="X43:X53" si="9">X9+Y9+Z9+X26</f>
        <v>33.81</v>
      </c>
      <c r="Y43" s="930"/>
      <c r="Z43" s="923"/>
      <c r="AA43" s="924">
        <f t="shared" si="4"/>
        <v>85.89</v>
      </c>
      <c r="AB43" s="931"/>
      <c r="AC43" s="931"/>
      <c r="AD43" s="931"/>
      <c r="AE43" s="925"/>
      <c r="AF43" s="932" t="s">
        <v>55</v>
      </c>
      <c r="AG43" s="882"/>
    </row>
    <row r="44" spans="1:33" ht="16.350000000000001" hidden="1" customHeight="1" x14ac:dyDescent="0.25">
      <c r="A44" s="919" t="s">
        <v>58</v>
      </c>
      <c r="B44" s="924">
        <f t="shared" si="2"/>
        <v>316.7</v>
      </c>
      <c r="C44" s="925"/>
      <c r="D44" s="922">
        <f t="shared" si="3"/>
        <v>430.1</v>
      </c>
      <c r="E44" s="923"/>
      <c r="F44" s="924">
        <f t="shared" ref="F44:F53" si="10">F10+G10+F27</f>
        <v>875.74</v>
      </c>
      <c r="G44" s="925"/>
      <c r="H44" s="922">
        <f>H10+H27</f>
        <v>378.02</v>
      </c>
      <c r="I44" s="923"/>
      <c r="J44" s="924">
        <f>J10+J27</f>
        <v>564.16</v>
      </c>
      <c r="K44" s="925"/>
      <c r="L44" s="931"/>
      <c r="M44" s="931"/>
      <c r="N44" s="922">
        <f t="shared" si="5"/>
        <v>420.7</v>
      </c>
      <c r="O44" s="923"/>
      <c r="P44" s="929" t="s">
        <v>58</v>
      </c>
      <c r="Q44" s="919" t="s">
        <v>58</v>
      </c>
      <c r="R44" s="924">
        <f t="shared" si="6"/>
        <v>45.2</v>
      </c>
      <c r="S44" s="931"/>
      <c r="T44" s="922">
        <f t="shared" si="7"/>
        <v>57.2</v>
      </c>
      <c r="U44" s="930"/>
      <c r="V44" s="924">
        <f t="shared" si="8"/>
        <v>244.42000000000002</v>
      </c>
      <c r="W44" s="925"/>
      <c r="X44" s="922">
        <f t="shared" si="9"/>
        <v>54.19</v>
      </c>
      <c r="Y44" s="930"/>
      <c r="Z44" s="923"/>
      <c r="AA44" s="924">
        <f t="shared" si="4"/>
        <v>108.47999999999999</v>
      </c>
      <c r="AB44" s="931"/>
      <c r="AC44" s="931"/>
      <c r="AD44" s="931"/>
      <c r="AE44" s="925"/>
      <c r="AF44" s="932" t="s">
        <v>58</v>
      </c>
      <c r="AG44" s="882"/>
    </row>
    <row r="45" spans="1:33" ht="16.350000000000001" hidden="1" customHeight="1" x14ac:dyDescent="0.25">
      <c r="A45" s="919" t="s">
        <v>61</v>
      </c>
      <c r="B45" s="924">
        <f t="shared" si="2"/>
        <v>706.4</v>
      </c>
      <c r="C45" s="925"/>
      <c r="D45" s="922">
        <f t="shared" si="3"/>
        <v>783.19999999999993</v>
      </c>
      <c r="E45" s="923"/>
      <c r="F45" s="924">
        <f t="shared" si="10"/>
        <v>1005.6400000000001</v>
      </c>
      <c r="G45" s="925"/>
      <c r="H45" s="922">
        <f>H11+H28</f>
        <v>475.7</v>
      </c>
      <c r="I45" s="923"/>
      <c r="J45" s="924">
        <f t="shared" ref="J45:J53" si="11">J11+J28</f>
        <v>649.02</v>
      </c>
      <c r="K45" s="925"/>
      <c r="L45" s="931"/>
      <c r="M45" s="931"/>
      <c r="N45" s="922">
        <f t="shared" si="5"/>
        <v>853.19999999999993</v>
      </c>
      <c r="O45" s="923"/>
      <c r="P45" s="929" t="s">
        <v>61</v>
      </c>
      <c r="Q45" s="919" t="s">
        <v>61</v>
      </c>
      <c r="R45" s="924">
        <f t="shared" si="6"/>
        <v>137.69999999999999</v>
      </c>
      <c r="S45" s="931"/>
      <c r="T45" s="922">
        <f t="shared" si="7"/>
        <v>171.2</v>
      </c>
      <c r="U45" s="930"/>
      <c r="V45" s="924">
        <f t="shared" si="8"/>
        <v>283.69</v>
      </c>
      <c r="W45" s="925"/>
      <c r="X45" s="922">
        <f t="shared" si="9"/>
        <v>91.43</v>
      </c>
      <c r="Y45" s="930"/>
      <c r="Z45" s="923"/>
      <c r="AA45" s="924">
        <f t="shared" si="4"/>
        <v>121</v>
      </c>
      <c r="AB45" s="931"/>
      <c r="AC45" s="931"/>
      <c r="AD45" s="931"/>
      <c r="AE45" s="925"/>
      <c r="AF45" s="932" t="s">
        <v>61</v>
      </c>
      <c r="AG45" s="882"/>
    </row>
    <row r="46" spans="1:33" ht="16.350000000000001" hidden="1" customHeight="1" x14ac:dyDescent="0.25">
      <c r="A46" s="919" t="s">
        <v>63</v>
      </c>
      <c r="B46" s="924">
        <f t="shared" si="2"/>
        <v>803.2</v>
      </c>
      <c r="C46" s="925"/>
      <c r="D46" s="922">
        <f t="shared" si="3"/>
        <v>1153.0999999999999</v>
      </c>
      <c r="E46" s="923"/>
      <c r="F46" s="924">
        <f t="shared" si="10"/>
        <v>1146.7199999999998</v>
      </c>
      <c r="G46" s="925"/>
      <c r="H46" s="922">
        <f t="shared" ref="H46:H53" si="12">H12+I12+H29</f>
        <v>623.73</v>
      </c>
      <c r="I46" s="923"/>
      <c r="J46" s="924">
        <f t="shared" si="11"/>
        <v>1075.03</v>
      </c>
      <c r="K46" s="925"/>
      <c r="L46" s="931"/>
      <c r="M46" s="931"/>
      <c r="N46" s="922">
        <f t="shared" si="5"/>
        <v>1115</v>
      </c>
      <c r="O46" s="923"/>
      <c r="P46" s="929" t="s">
        <v>63</v>
      </c>
      <c r="Q46" s="919" t="s">
        <v>63</v>
      </c>
      <c r="R46" s="924">
        <f t="shared" si="6"/>
        <v>182.9</v>
      </c>
      <c r="S46" s="931"/>
      <c r="T46" s="922">
        <f t="shared" si="7"/>
        <v>304.2</v>
      </c>
      <c r="U46" s="930"/>
      <c r="V46" s="924">
        <f t="shared" si="8"/>
        <v>304.95</v>
      </c>
      <c r="W46" s="925"/>
      <c r="X46" s="922">
        <f t="shared" si="9"/>
        <v>136.34</v>
      </c>
      <c r="Y46" s="930"/>
      <c r="Z46" s="923"/>
      <c r="AA46" s="924">
        <f t="shared" si="4"/>
        <v>280.3</v>
      </c>
      <c r="AB46" s="931"/>
      <c r="AC46" s="931"/>
      <c r="AD46" s="931"/>
      <c r="AE46" s="925"/>
      <c r="AF46" s="932" t="s">
        <v>63</v>
      </c>
      <c r="AG46" s="882"/>
    </row>
    <row r="47" spans="1:33" ht="16.350000000000001" hidden="1" customHeight="1" x14ac:dyDescent="0.25">
      <c r="A47" s="933" t="s">
        <v>65</v>
      </c>
      <c r="B47" s="934">
        <f t="shared" si="2"/>
        <v>979</v>
      </c>
      <c r="C47" s="935"/>
      <c r="D47" s="936">
        <f t="shared" si="3"/>
        <v>1233.8</v>
      </c>
      <c r="E47" s="937"/>
      <c r="F47" s="934">
        <f t="shared" si="10"/>
        <v>1164.1399999999999</v>
      </c>
      <c r="G47" s="935"/>
      <c r="H47" s="936">
        <f t="shared" si="12"/>
        <v>1185.49</v>
      </c>
      <c r="I47" s="937"/>
      <c r="J47" s="934">
        <f t="shared" si="11"/>
        <v>1136.52</v>
      </c>
      <c r="K47" s="935"/>
      <c r="L47" s="938"/>
      <c r="M47" s="938"/>
      <c r="N47" s="936">
        <f t="shared" si="5"/>
        <v>1318.8999999999999</v>
      </c>
      <c r="O47" s="937"/>
      <c r="P47" s="939" t="s">
        <v>65</v>
      </c>
      <c r="Q47" s="933" t="s">
        <v>65</v>
      </c>
      <c r="R47" s="934">
        <f t="shared" si="6"/>
        <v>243.1</v>
      </c>
      <c r="S47" s="938"/>
      <c r="T47" s="936">
        <f t="shared" si="7"/>
        <v>308.09999999999997</v>
      </c>
      <c r="U47" s="940"/>
      <c r="V47" s="934">
        <f t="shared" si="8"/>
        <v>290.06000000000006</v>
      </c>
      <c r="W47" s="935"/>
      <c r="X47" s="936">
        <f t="shared" si="9"/>
        <v>225.18</v>
      </c>
      <c r="Y47" s="940"/>
      <c r="Z47" s="937"/>
      <c r="AA47" s="934">
        <f t="shared" si="4"/>
        <v>285.27</v>
      </c>
      <c r="AB47" s="938"/>
      <c r="AC47" s="938"/>
      <c r="AD47" s="938"/>
      <c r="AE47" s="935"/>
      <c r="AF47" s="941" t="s">
        <v>65</v>
      </c>
      <c r="AG47" s="882"/>
    </row>
    <row r="48" spans="1:33" ht="16.350000000000001" hidden="1" customHeight="1" x14ac:dyDescent="0.25">
      <c r="A48" s="919" t="s">
        <v>67</v>
      </c>
      <c r="B48" s="924">
        <f t="shared" si="2"/>
        <v>1182.9000000000001</v>
      </c>
      <c r="C48" s="925"/>
      <c r="D48" s="922">
        <f t="shared" si="3"/>
        <v>1271.99</v>
      </c>
      <c r="E48" s="923"/>
      <c r="F48" s="924">
        <f t="shared" si="10"/>
        <v>1384.25</v>
      </c>
      <c r="G48" s="925"/>
      <c r="H48" s="922">
        <f t="shared" si="12"/>
        <v>1022.23</v>
      </c>
      <c r="I48" s="923"/>
      <c r="J48" s="924">
        <f t="shared" si="11"/>
        <v>1306.76</v>
      </c>
      <c r="K48" s="925"/>
      <c r="L48" s="931"/>
      <c r="M48" s="931"/>
      <c r="N48" s="922">
        <f t="shared" si="5"/>
        <v>1384.3999999999999</v>
      </c>
      <c r="O48" s="923"/>
      <c r="P48" s="929" t="s">
        <v>67</v>
      </c>
      <c r="Q48" s="919" t="s">
        <v>67</v>
      </c>
      <c r="R48" s="924">
        <f t="shared" si="6"/>
        <v>307.59999999999997</v>
      </c>
      <c r="S48" s="931"/>
      <c r="T48" s="927">
        <f t="shared" si="7"/>
        <v>323.84999999999997</v>
      </c>
      <c r="U48" s="1032"/>
      <c r="V48" s="924">
        <f t="shared" si="8"/>
        <v>327.78</v>
      </c>
      <c r="W48" s="925"/>
      <c r="X48" s="927">
        <f t="shared" si="9"/>
        <v>318.99</v>
      </c>
      <c r="Y48" s="1032"/>
      <c r="Z48" s="928"/>
      <c r="AA48" s="920">
        <f t="shared" si="4"/>
        <v>329.81</v>
      </c>
      <c r="AB48" s="926"/>
      <c r="AC48" s="926"/>
      <c r="AD48" s="926"/>
      <c r="AE48" s="921"/>
      <c r="AF48" s="932" t="s">
        <v>67</v>
      </c>
      <c r="AG48" s="882"/>
    </row>
    <row r="49" spans="1:33" ht="16.350000000000001" hidden="1" customHeight="1" x14ac:dyDescent="0.25">
      <c r="A49" s="919" t="s">
        <v>62</v>
      </c>
      <c r="B49" s="924">
        <f t="shared" si="2"/>
        <v>1324.3</v>
      </c>
      <c r="C49" s="925"/>
      <c r="D49" s="922">
        <f t="shared" si="3"/>
        <v>1276.8600000000001</v>
      </c>
      <c r="E49" s="923"/>
      <c r="F49" s="924">
        <f t="shared" si="10"/>
        <v>1319.73</v>
      </c>
      <c r="G49" s="925"/>
      <c r="H49" s="922">
        <f t="shared" si="12"/>
        <v>1297.83</v>
      </c>
      <c r="I49" s="923"/>
      <c r="J49" s="924">
        <f t="shared" si="11"/>
        <v>1318.3400000000001</v>
      </c>
      <c r="K49" s="925"/>
      <c r="L49" s="931"/>
      <c r="M49" s="931"/>
      <c r="N49" s="922">
        <f t="shared" si="5"/>
        <v>1405.9</v>
      </c>
      <c r="O49" s="923"/>
      <c r="P49" s="929" t="s">
        <v>62</v>
      </c>
      <c r="Q49" s="919" t="s">
        <v>62</v>
      </c>
      <c r="R49" s="924">
        <f t="shared" si="6"/>
        <v>324.7</v>
      </c>
      <c r="S49" s="931"/>
      <c r="T49" s="922">
        <f t="shared" si="7"/>
        <v>337.1</v>
      </c>
      <c r="U49" s="930"/>
      <c r="V49" s="924">
        <f>V15+W15+V32</f>
        <v>345.24</v>
      </c>
      <c r="W49" s="925"/>
      <c r="X49" s="922">
        <f t="shared" si="9"/>
        <v>330.23</v>
      </c>
      <c r="Y49" s="930"/>
      <c r="Z49" s="923"/>
      <c r="AA49" s="924">
        <f t="shared" si="4"/>
        <v>343.34</v>
      </c>
      <c r="AB49" s="931"/>
      <c r="AC49" s="931"/>
      <c r="AD49" s="931"/>
      <c r="AE49" s="925"/>
      <c r="AF49" s="932" t="s">
        <v>62</v>
      </c>
      <c r="AG49" s="882"/>
    </row>
    <row r="50" spans="1:33" ht="16.350000000000001" hidden="1" customHeight="1" x14ac:dyDescent="0.25">
      <c r="A50" s="919" t="s">
        <v>64</v>
      </c>
      <c r="B50" s="924">
        <f t="shared" si="2"/>
        <v>1246.2</v>
      </c>
      <c r="C50" s="925"/>
      <c r="D50" s="922">
        <f t="shared" si="3"/>
        <v>1180.9499999999998</v>
      </c>
      <c r="E50" s="923"/>
      <c r="F50" s="924">
        <f t="shared" si="10"/>
        <v>1236.3600000000001</v>
      </c>
      <c r="G50" s="925"/>
      <c r="H50" s="922">
        <f t="shared" si="12"/>
        <v>1044.8499999999999</v>
      </c>
      <c r="I50" s="923"/>
      <c r="J50" s="924">
        <f t="shared" si="11"/>
        <v>1115</v>
      </c>
      <c r="K50" s="925"/>
      <c r="L50" s="931"/>
      <c r="M50" s="931"/>
      <c r="N50" s="922">
        <f t="shared" si="5"/>
        <v>1222.3999999999999</v>
      </c>
      <c r="O50" s="923"/>
      <c r="P50" s="929" t="s">
        <v>64</v>
      </c>
      <c r="Q50" s="919" t="s">
        <v>64</v>
      </c>
      <c r="R50" s="924">
        <f t="shared" si="6"/>
        <v>297.8</v>
      </c>
      <c r="S50" s="931"/>
      <c r="T50" s="922">
        <f t="shared" si="7"/>
        <v>315.98</v>
      </c>
      <c r="U50" s="930"/>
      <c r="V50" s="924">
        <f t="shared" si="8"/>
        <v>317.38</v>
      </c>
      <c r="W50" s="925"/>
      <c r="X50" s="922">
        <f t="shared" si="9"/>
        <v>263.23</v>
      </c>
      <c r="Y50" s="930"/>
      <c r="Z50" s="923"/>
      <c r="AA50" s="924">
        <f t="shared" si="4"/>
        <v>280.63</v>
      </c>
      <c r="AB50" s="931"/>
      <c r="AC50" s="931"/>
      <c r="AD50" s="931"/>
      <c r="AE50" s="925"/>
      <c r="AF50" s="932" t="s">
        <v>64</v>
      </c>
      <c r="AG50" s="882"/>
    </row>
    <row r="51" spans="1:33" ht="16.350000000000001" hidden="1" customHeight="1" x14ac:dyDescent="0.25">
      <c r="A51" s="919" t="s">
        <v>66</v>
      </c>
      <c r="B51" s="924">
        <f t="shared" si="2"/>
        <v>1101</v>
      </c>
      <c r="C51" s="925"/>
      <c r="D51" s="922">
        <f t="shared" si="3"/>
        <v>999.42</v>
      </c>
      <c r="E51" s="923"/>
      <c r="F51" s="924">
        <f t="shared" si="10"/>
        <v>1117.55</v>
      </c>
      <c r="G51" s="925"/>
      <c r="H51" s="922">
        <f t="shared" si="12"/>
        <v>1047.6599999999999</v>
      </c>
      <c r="I51" s="923"/>
      <c r="J51" s="924">
        <f t="shared" si="11"/>
        <v>1228.19</v>
      </c>
      <c r="K51" s="925"/>
      <c r="L51" s="931"/>
      <c r="M51" s="931"/>
      <c r="N51" s="922">
        <f>N17+O17+N34</f>
        <v>980.1</v>
      </c>
      <c r="O51" s="923"/>
      <c r="P51" s="929" t="s">
        <v>66</v>
      </c>
      <c r="Q51" s="919" t="s">
        <v>66</v>
      </c>
      <c r="R51" s="924">
        <f t="shared" si="6"/>
        <v>290.8</v>
      </c>
      <c r="S51" s="931"/>
      <c r="T51" s="922">
        <f t="shared" si="7"/>
        <v>286.19</v>
      </c>
      <c r="U51" s="952"/>
      <c r="V51" s="924">
        <f t="shared" si="8"/>
        <v>321.13</v>
      </c>
      <c r="W51" s="925"/>
      <c r="X51" s="922">
        <f t="shared" si="9"/>
        <v>276.2</v>
      </c>
      <c r="Y51" s="952"/>
      <c r="Z51" s="945"/>
      <c r="AA51" s="924">
        <f t="shared" si="4"/>
        <v>346.90999999999997</v>
      </c>
      <c r="AB51" s="931"/>
      <c r="AC51" s="931"/>
      <c r="AD51" s="953"/>
      <c r="AE51" s="947"/>
      <c r="AF51" s="932" t="s">
        <v>66</v>
      </c>
      <c r="AG51" s="882"/>
    </row>
    <row r="52" spans="1:33" ht="16.350000000000001" hidden="1" customHeight="1" x14ac:dyDescent="0.25">
      <c r="A52" s="919" t="s">
        <v>56</v>
      </c>
      <c r="B52" s="924">
        <f t="shared" si="2"/>
        <v>819.09999999999991</v>
      </c>
      <c r="C52" s="925"/>
      <c r="D52" s="922">
        <f t="shared" si="3"/>
        <v>585.74</v>
      </c>
      <c r="E52" s="923"/>
      <c r="F52" s="924">
        <f t="shared" si="10"/>
        <v>718.78</v>
      </c>
      <c r="G52" s="925"/>
      <c r="H52" s="922">
        <f t="shared" si="12"/>
        <v>754.24</v>
      </c>
      <c r="I52" s="923"/>
      <c r="J52" s="924">
        <f t="shared" si="11"/>
        <v>757.33999999999992</v>
      </c>
      <c r="K52" s="925"/>
      <c r="L52" s="931"/>
      <c r="M52" s="931"/>
      <c r="N52" s="922">
        <f t="shared" si="5"/>
        <v>826.7</v>
      </c>
      <c r="O52" s="923"/>
      <c r="P52" s="929" t="s">
        <v>56</v>
      </c>
      <c r="Q52" s="919" t="s">
        <v>56</v>
      </c>
      <c r="R52" s="924">
        <f t="shared" si="6"/>
        <v>225.9</v>
      </c>
      <c r="S52" s="931"/>
      <c r="T52" s="922">
        <f t="shared" si="7"/>
        <v>124.28999999999999</v>
      </c>
      <c r="U52" s="1033"/>
      <c r="V52" s="924">
        <f t="shared" si="8"/>
        <v>137</v>
      </c>
      <c r="W52" s="925"/>
      <c r="X52" s="922">
        <f t="shared" si="9"/>
        <v>181.34</v>
      </c>
      <c r="Y52" s="1033"/>
      <c r="Z52" s="1034"/>
      <c r="AA52" s="924">
        <f t="shared" si="4"/>
        <v>158.62</v>
      </c>
      <c r="AB52" s="931"/>
      <c r="AC52" s="931"/>
      <c r="AD52" s="1035"/>
      <c r="AE52" s="1036"/>
      <c r="AF52" s="932" t="s">
        <v>56</v>
      </c>
      <c r="AG52" s="882"/>
    </row>
    <row r="53" spans="1:33" ht="16.350000000000001" hidden="1" customHeight="1" x14ac:dyDescent="0.25">
      <c r="A53" s="933" t="s">
        <v>59</v>
      </c>
      <c r="B53" s="934">
        <f t="shared" si="2"/>
        <v>562.29999999999995</v>
      </c>
      <c r="C53" s="935"/>
      <c r="D53" s="936">
        <f t="shared" si="3"/>
        <v>422.34</v>
      </c>
      <c r="E53" s="937"/>
      <c r="F53" s="934">
        <f t="shared" si="10"/>
        <v>462.43</v>
      </c>
      <c r="G53" s="935"/>
      <c r="H53" s="936">
        <f t="shared" si="12"/>
        <v>706</v>
      </c>
      <c r="I53" s="937"/>
      <c r="J53" s="934">
        <f t="shared" si="11"/>
        <v>952.06</v>
      </c>
      <c r="K53" s="935"/>
      <c r="L53" s="938"/>
      <c r="M53" s="938"/>
      <c r="N53" s="936">
        <f t="shared" si="5"/>
        <v>852.3</v>
      </c>
      <c r="O53" s="937"/>
      <c r="P53" s="939" t="s">
        <v>59</v>
      </c>
      <c r="Q53" s="933" t="s">
        <v>59</v>
      </c>
      <c r="R53" s="934">
        <f t="shared" si="6"/>
        <v>113.9</v>
      </c>
      <c r="S53" s="938"/>
      <c r="T53" s="936">
        <f t="shared" si="7"/>
        <v>52.92</v>
      </c>
      <c r="U53" s="1037"/>
      <c r="V53" s="934">
        <f t="shared" si="8"/>
        <v>125.13999999999999</v>
      </c>
      <c r="W53" s="935"/>
      <c r="X53" s="936">
        <f t="shared" si="9"/>
        <v>175.07</v>
      </c>
      <c r="Y53" s="1037"/>
      <c r="Z53" s="1038"/>
      <c r="AA53" s="934">
        <f t="shared" si="4"/>
        <v>274.99</v>
      </c>
      <c r="AB53" s="938"/>
      <c r="AC53" s="938"/>
      <c r="AD53" s="1039"/>
      <c r="AE53" s="1040"/>
      <c r="AF53" s="941" t="s">
        <v>59</v>
      </c>
      <c r="AG53" s="882"/>
    </row>
    <row r="54" spans="1:33" ht="16.350000000000001" hidden="1" customHeight="1" x14ac:dyDescent="0.25">
      <c r="A54" s="885"/>
      <c r="B54" s="942">
        <f>SUM(B42:B53)+SUM(C42:C53)</f>
        <v>9686.4</v>
      </c>
      <c r="C54" s="935"/>
      <c r="D54" s="1011">
        <f>SUM(D42:D53)+SUM(E42:E53)</f>
        <v>10253.700000000001</v>
      </c>
      <c r="E54" s="937"/>
      <c r="F54" s="942">
        <f>SUM(F42:F53)+SUM(G42:G53)</f>
        <v>11242.08</v>
      </c>
      <c r="G54" s="935"/>
      <c r="H54" s="1011">
        <f>SUM(H42:H53)</f>
        <v>9297.99</v>
      </c>
      <c r="I54" s="1012"/>
      <c r="J54" s="942">
        <f>SUM(J42:J53)</f>
        <v>11309.710000000001</v>
      </c>
      <c r="K54" s="943"/>
      <c r="L54" s="1013"/>
      <c r="M54" s="1013"/>
      <c r="N54" s="942">
        <f>SUM(N42:N53)</f>
        <v>11475</v>
      </c>
      <c r="O54" s="943"/>
      <c r="P54" s="943"/>
      <c r="Q54" s="951"/>
      <c r="R54" s="942">
        <f>SUM(R42:R53)+SUM(S42:S53)</f>
        <v>2271</v>
      </c>
      <c r="S54" s="935"/>
      <c r="T54" s="1011">
        <f>SUM(T42:T53)</f>
        <v>2454.5299999999997</v>
      </c>
      <c r="U54" s="1012"/>
      <c r="V54" s="942">
        <f>SUM(V42:V53)</f>
        <v>2805.29</v>
      </c>
      <c r="W54" s="935"/>
      <c r="X54" s="1041">
        <f>SUM(X42:X53)</f>
        <v>2127.2000000000003</v>
      </c>
      <c r="Y54" s="1042"/>
      <c r="Z54" s="1043"/>
      <c r="AA54" s="1016">
        <f>AA37+AA20+AD20</f>
        <v>2796.5299999999997</v>
      </c>
      <c r="AB54" s="1017"/>
      <c r="AC54" s="1017"/>
      <c r="AD54" s="1017"/>
      <c r="AE54" s="1044"/>
      <c r="AF54" s="953"/>
      <c r="AG54" s="882"/>
    </row>
    <row r="55" spans="1:33" ht="16.350000000000001" hidden="1" customHeight="1" x14ac:dyDescent="0.25">
      <c r="A55" s="973"/>
      <c r="B55" s="1045"/>
      <c r="C55" s="1045"/>
      <c r="D55" s="887"/>
      <c r="E55" s="887"/>
      <c r="F55" s="887"/>
      <c r="G55" s="887"/>
      <c r="H55" s="887"/>
      <c r="I55" s="887"/>
      <c r="J55" s="887"/>
      <c r="K55" s="887"/>
      <c r="L55" s="887"/>
      <c r="M55" s="887"/>
      <c r="N55" s="887"/>
      <c r="O55" s="887"/>
      <c r="P55" s="888"/>
      <c r="Q55" s="882"/>
      <c r="AF55" s="887"/>
      <c r="AG55" s="882"/>
    </row>
    <row r="56" spans="1:33" ht="16.350000000000001" hidden="1" customHeight="1" x14ac:dyDescent="0.25">
      <c r="A56" s="973"/>
      <c r="B56" s="1045"/>
      <c r="C56" s="1045"/>
      <c r="D56" s="887"/>
      <c r="E56" s="887"/>
      <c r="F56" s="887"/>
      <c r="G56" s="887"/>
      <c r="H56" s="887"/>
      <c r="I56" s="887"/>
      <c r="J56" s="887"/>
      <c r="K56" s="887"/>
      <c r="L56" s="887"/>
      <c r="M56" s="887"/>
      <c r="N56" s="887"/>
      <c r="O56" s="887"/>
      <c r="P56" s="888"/>
      <c r="Q56" s="882"/>
      <c r="AG56" s="882"/>
    </row>
    <row r="57" spans="1:33" ht="20.25" hidden="1" x14ac:dyDescent="0.3">
      <c r="A57" s="882"/>
      <c r="B57" s="887"/>
      <c r="C57" s="887"/>
      <c r="D57" s="887"/>
      <c r="E57" s="887"/>
      <c r="F57" s="887"/>
      <c r="G57" s="887"/>
      <c r="H57" s="1274" t="s">
        <v>47</v>
      </c>
      <c r="I57" s="887"/>
      <c r="J57" s="887"/>
      <c r="K57" s="887"/>
      <c r="L57" s="887"/>
      <c r="M57" s="887"/>
      <c r="N57" s="887"/>
      <c r="O57" s="887"/>
      <c r="P57" s="888"/>
      <c r="Q57" s="1046"/>
      <c r="R57" s="881"/>
      <c r="S57" s="881"/>
      <c r="T57" s="881"/>
      <c r="U57" s="881"/>
      <c r="X57" s="1275" t="s">
        <v>47</v>
      </c>
      <c r="AG57" s="882"/>
    </row>
    <row r="58" spans="1:33" ht="20.25" hidden="1" x14ac:dyDescent="0.3">
      <c r="A58" s="882"/>
      <c r="B58" s="887"/>
      <c r="C58" s="887"/>
      <c r="D58" s="887"/>
      <c r="E58" s="887"/>
      <c r="F58" s="887"/>
      <c r="G58" s="887"/>
      <c r="H58" s="1274" t="s">
        <v>49</v>
      </c>
      <c r="I58" s="887"/>
      <c r="J58" s="887"/>
      <c r="K58" s="887"/>
      <c r="L58" s="887"/>
      <c r="M58" s="887"/>
      <c r="N58" s="887"/>
      <c r="O58" s="887"/>
      <c r="P58" s="888"/>
      <c r="Q58" s="1046"/>
      <c r="R58" s="881"/>
      <c r="S58" s="881"/>
      <c r="T58" s="881"/>
      <c r="U58" s="881"/>
      <c r="X58" s="1275" t="s">
        <v>322</v>
      </c>
      <c r="AG58" s="882"/>
    </row>
    <row r="59" spans="1:33" ht="18" hidden="1" x14ac:dyDescent="0.25">
      <c r="A59" s="882"/>
      <c r="B59" s="887"/>
      <c r="C59" s="887"/>
      <c r="D59" s="887"/>
      <c r="E59" s="887"/>
      <c r="F59" s="887"/>
      <c r="G59" s="887"/>
      <c r="H59" s="889">
        <v>41640</v>
      </c>
      <c r="I59" s="887"/>
      <c r="J59" s="887"/>
      <c r="K59" s="887"/>
      <c r="L59" s="887"/>
      <c r="M59" s="887"/>
      <c r="N59" s="887"/>
      <c r="O59" s="887"/>
      <c r="P59" s="888"/>
      <c r="Q59" s="882"/>
      <c r="T59" s="892"/>
      <c r="X59" s="890">
        <v>41640</v>
      </c>
      <c r="AG59" s="882"/>
    </row>
    <row r="60" spans="1:33" hidden="1" x14ac:dyDescent="0.25">
      <c r="A60" s="1047"/>
      <c r="B60" s="894"/>
      <c r="C60" s="894"/>
      <c r="D60" s="894"/>
      <c r="E60" s="887"/>
      <c r="F60" s="887"/>
      <c r="G60" s="887"/>
      <c r="H60" s="887"/>
      <c r="I60" s="887"/>
      <c r="J60" s="887"/>
      <c r="K60" s="887"/>
      <c r="L60" s="887"/>
      <c r="M60" s="887"/>
      <c r="N60" s="887"/>
      <c r="O60" s="887"/>
      <c r="P60" s="888"/>
      <c r="Q60" s="882"/>
      <c r="S60" s="894"/>
      <c r="T60" s="894"/>
      <c r="U60" s="894"/>
      <c r="W60" s="894"/>
      <c r="AG60" s="882"/>
    </row>
    <row r="61" spans="1:33" hidden="1" x14ac:dyDescent="0.25">
      <c r="A61" s="1028"/>
      <c r="B61" s="897" t="s">
        <v>804</v>
      </c>
      <c r="C61" s="897"/>
      <c r="D61" s="897" t="s">
        <v>804</v>
      </c>
      <c r="E61" s="898"/>
      <c r="F61" s="897" t="s">
        <v>804</v>
      </c>
      <c r="G61" s="898"/>
      <c r="H61" s="897" t="s">
        <v>804</v>
      </c>
      <c r="I61" s="1216"/>
      <c r="J61" s="897" t="s">
        <v>804</v>
      </c>
      <c r="K61" s="1216"/>
      <c r="L61" s="897" t="s">
        <v>804</v>
      </c>
      <c r="M61" s="1216"/>
      <c r="N61" s="897" t="s">
        <v>804</v>
      </c>
      <c r="O61" s="1216"/>
      <c r="P61" s="1048"/>
      <c r="Q61" s="1046"/>
      <c r="R61" s="901" t="s">
        <v>805</v>
      </c>
      <c r="S61" s="881"/>
      <c r="T61" s="881"/>
      <c r="U61" s="901" t="s">
        <v>805</v>
      </c>
      <c r="V61" s="881"/>
      <c r="W61" s="881"/>
      <c r="X61" s="901" t="s">
        <v>805</v>
      </c>
      <c r="Y61" s="881"/>
      <c r="Z61" s="881"/>
      <c r="AA61" s="901" t="s">
        <v>805</v>
      </c>
      <c r="AB61" s="901"/>
      <c r="AC61" s="901"/>
      <c r="AD61" s="881"/>
      <c r="AE61" s="881"/>
      <c r="AF61" s="1216"/>
      <c r="AG61" s="882"/>
    </row>
    <row r="62" spans="1:33" hidden="1" x14ac:dyDescent="0.25">
      <c r="A62" s="885"/>
      <c r="B62" s="1686">
        <v>2001</v>
      </c>
      <c r="C62" s="1686"/>
      <c r="D62" s="1686">
        <v>2002</v>
      </c>
      <c r="E62" s="1674"/>
      <c r="F62" s="1686">
        <v>2003</v>
      </c>
      <c r="G62" s="1686"/>
      <c r="H62" s="1686">
        <v>2004</v>
      </c>
      <c r="I62" s="1686"/>
      <c r="J62" s="1686">
        <v>2005</v>
      </c>
      <c r="K62" s="1674"/>
      <c r="L62" s="1674">
        <v>2006</v>
      </c>
      <c r="M62" s="1675"/>
      <c r="N62" s="1686">
        <v>2007</v>
      </c>
      <c r="O62" s="1686"/>
      <c r="P62" s="902"/>
      <c r="Q62" s="1049"/>
      <c r="R62" s="1674">
        <v>2000</v>
      </c>
      <c r="S62" s="1676"/>
      <c r="T62" s="1675"/>
      <c r="U62" s="1670">
        <v>2001</v>
      </c>
      <c r="V62" s="1670"/>
      <c r="W62" s="1671"/>
      <c r="X62" s="1671" t="s">
        <v>313</v>
      </c>
      <c r="Y62" s="1672"/>
      <c r="Z62" s="1673"/>
      <c r="AA62" s="1670" t="s">
        <v>395</v>
      </c>
      <c r="AB62" s="1670"/>
      <c r="AC62" s="1670"/>
      <c r="AD62" s="1670"/>
      <c r="AE62" s="1687"/>
      <c r="AF62" s="1050"/>
      <c r="AG62" s="882"/>
    </row>
    <row r="63" spans="1:33" hidden="1" x14ac:dyDescent="0.25">
      <c r="A63" s="1029"/>
      <c r="B63" s="1271" t="s">
        <v>38</v>
      </c>
      <c r="C63" s="1217" t="s">
        <v>40</v>
      </c>
      <c r="D63" s="1271" t="s">
        <v>38</v>
      </c>
      <c r="E63" s="1217" t="s">
        <v>40</v>
      </c>
      <c r="F63" s="1272" t="s">
        <v>38</v>
      </c>
      <c r="G63" s="1217" t="s">
        <v>40</v>
      </c>
      <c r="H63" s="1271" t="s">
        <v>38</v>
      </c>
      <c r="I63" s="1217" t="s">
        <v>40</v>
      </c>
      <c r="J63" s="1271" t="s">
        <v>38</v>
      </c>
      <c r="K63" s="1217" t="s">
        <v>40</v>
      </c>
      <c r="L63" s="1217" t="s">
        <v>38</v>
      </c>
      <c r="M63" s="1217" t="s">
        <v>40</v>
      </c>
      <c r="N63" s="1271" t="s">
        <v>38</v>
      </c>
      <c r="O63" s="1273" t="s">
        <v>40</v>
      </c>
      <c r="P63" s="911"/>
      <c r="Q63" s="1051"/>
      <c r="R63" s="1052" t="s">
        <v>38</v>
      </c>
      <c r="S63" s="915" t="s">
        <v>53</v>
      </c>
      <c r="T63" s="917" t="s">
        <v>40</v>
      </c>
      <c r="U63" s="916" t="s">
        <v>38</v>
      </c>
      <c r="V63" s="918" t="s">
        <v>53</v>
      </c>
      <c r="W63" s="918" t="s">
        <v>40</v>
      </c>
      <c r="X63" s="916" t="s">
        <v>38</v>
      </c>
      <c r="Y63" s="918" t="s">
        <v>53</v>
      </c>
      <c r="Z63" s="918" t="s">
        <v>40</v>
      </c>
      <c r="AA63" s="916" t="s">
        <v>38</v>
      </c>
      <c r="AB63" s="918"/>
      <c r="AC63" s="918"/>
      <c r="AD63" s="918" t="s">
        <v>53</v>
      </c>
      <c r="AE63" s="1053" t="s">
        <v>40</v>
      </c>
      <c r="AF63" s="918"/>
      <c r="AG63" s="882"/>
    </row>
    <row r="64" spans="1:33" hidden="1" x14ac:dyDescent="0.25">
      <c r="A64" s="919" t="s">
        <v>54</v>
      </c>
      <c r="B64" s="920">
        <v>28.8</v>
      </c>
      <c r="C64" s="921"/>
      <c r="D64" s="927">
        <v>167.1</v>
      </c>
      <c r="E64" s="1032"/>
      <c r="F64" s="926">
        <v>101.4</v>
      </c>
      <c r="G64" s="921"/>
      <c r="H64" s="927">
        <v>0</v>
      </c>
      <c r="I64" s="928">
        <v>153.6</v>
      </c>
      <c r="J64" s="920">
        <v>0.8</v>
      </c>
      <c r="K64" s="921">
        <v>29.8</v>
      </c>
      <c r="L64" s="931">
        <v>53.9</v>
      </c>
      <c r="M64" s="931">
        <v>0</v>
      </c>
      <c r="N64" s="922">
        <v>69.5</v>
      </c>
      <c r="O64" s="923">
        <v>142.69999999999999</v>
      </c>
      <c r="P64" s="929" t="s">
        <v>54</v>
      </c>
      <c r="Q64" s="919" t="s">
        <v>54</v>
      </c>
      <c r="R64" s="927">
        <v>11.27</v>
      </c>
      <c r="S64" s="1032">
        <v>144.80000000000001</v>
      </c>
      <c r="T64" s="928"/>
      <c r="U64" s="920">
        <v>7.8</v>
      </c>
      <c r="V64" s="926">
        <v>79.7</v>
      </c>
      <c r="W64" s="921"/>
      <c r="X64" s="927">
        <v>40.6</v>
      </c>
      <c r="Y64" s="1032">
        <v>86.1</v>
      </c>
      <c r="Z64" s="928"/>
      <c r="AA64" s="920">
        <v>1.2</v>
      </c>
      <c r="AB64" s="931"/>
      <c r="AC64" s="931"/>
      <c r="AD64" s="931">
        <v>187.7</v>
      </c>
      <c r="AE64" s="925"/>
      <c r="AF64" s="932" t="s">
        <v>54</v>
      </c>
      <c r="AG64" s="882"/>
    </row>
    <row r="65" spans="1:33" hidden="1" x14ac:dyDescent="0.25">
      <c r="A65" s="919" t="s">
        <v>55</v>
      </c>
      <c r="B65" s="924">
        <v>104</v>
      </c>
      <c r="C65" s="925"/>
      <c r="D65" s="922">
        <v>113.9</v>
      </c>
      <c r="E65" s="930"/>
      <c r="F65" s="931">
        <v>59.9</v>
      </c>
      <c r="G65" s="925"/>
      <c r="H65" s="922">
        <v>0.9</v>
      </c>
      <c r="I65" s="923">
        <v>119.5</v>
      </c>
      <c r="J65" s="924">
        <v>2.6</v>
      </c>
      <c r="K65" s="925">
        <v>99</v>
      </c>
      <c r="L65" s="931">
        <v>77.8</v>
      </c>
      <c r="M65" s="931">
        <v>0</v>
      </c>
      <c r="N65" s="922">
        <v>1.9</v>
      </c>
      <c r="O65" s="923">
        <v>210.3</v>
      </c>
      <c r="P65" s="929" t="s">
        <v>55</v>
      </c>
      <c r="Q65" s="919" t="s">
        <v>55</v>
      </c>
      <c r="R65" s="922">
        <v>0.18</v>
      </c>
      <c r="S65" s="930">
        <v>48.2</v>
      </c>
      <c r="T65" s="923"/>
      <c r="U65" s="924">
        <v>1.1000000000000001</v>
      </c>
      <c r="V65" s="931">
        <v>57.8</v>
      </c>
      <c r="W65" s="925"/>
      <c r="X65" s="922">
        <v>2.2999999999999998</v>
      </c>
      <c r="Y65" s="930">
        <v>168.1</v>
      </c>
      <c r="Z65" s="923"/>
      <c r="AA65" s="924">
        <v>0.3</v>
      </c>
      <c r="AB65" s="931"/>
      <c r="AC65" s="931"/>
      <c r="AD65" s="931">
        <v>114.4</v>
      </c>
      <c r="AE65" s="925"/>
      <c r="AF65" s="932" t="s">
        <v>55</v>
      </c>
      <c r="AG65" s="882"/>
    </row>
    <row r="66" spans="1:33" hidden="1" x14ac:dyDescent="0.25">
      <c r="A66" s="919" t="s">
        <v>58</v>
      </c>
      <c r="B66" s="924">
        <v>129</v>
      </c>
      <c r="C66" s="925"/>
      <c r="D66" s="922">
        <v>139.4</v>
      </c>
      <c r="E66" s="930"/>
      <c r="F66" s="931">
        <v>59.6</v>
      </c>
      <c r="G66" s="925"/>
      <c r="H66" s="922">
        <v>0.1</v>
      </c>
      <c r="I66" s="923">
        <v>138.9</v>
      </c>
      <c r="J66" s="924">
        <v>77.5</v>
      </c>
      <c r="K66" s="925">
        <v>74.099999999999994</v>
      </c>
      <c r="L66" s="931">
        <v>5.0999999999999996</v>
      </c>
      <c r="M66" s="931">
        <v>228.7</v>
      </c>
      <c r="N66" s="922">
        <v>14</v>
      </c>
      <c r="O66" s="923">
        <v>198.2</v>
      </c>
      <c r="P66" s="929" t="s">
        <v>58</v>
      </c>
      <c r="Q66" s="919" t="s">
        <v>58</v>
      </c>
      <c r="R66" s="922">
        <v>2.11</v>
      </c>
      <c r="S66" s="930">
        <v>87.5</v>
      </c>
      <c r="T66" s="923"/>
      <c r="U66" s="924">
        <v>0.1</v>
      </c>
      <c r="V66" s="931">
        <v>69.2</v>
      </c>
      <c r="W66" s="925"/>
      <c r="X66" s="922">
        <v>8.1999999999999993</v>
      </c>
      <c r="Y66" s="930">
        <v>271.89999999999998</v>
      </c>
      <c r="Z66" s="923"/>
      <c r="AA66" s="924">
        <v>0.6</v>
      </c>
      <c r="AB66" s="931"/>
      <c r="AC66" s="931"/>
      <c r="AD66" s="931">
        <v>96.3</v>
      </c>
      <c r="AE66" s="925"/>
      <c r="AF66" s="932" t="s">
        <v>58</v>
      </c>
      <c r="AG66" s="882"/>
    </row>
    <row r="67" spans="1:33" hidden="1" x14ac:dyDescent="0.25">
      <c r="A67" s="919" t="s">
        <v>61</v>
      </c>
      <c r="B67" s="924">
        <v>4.3</v>
      </c>
      <c r="C67" s="925">
        <v>140.19999999999999</v>
      </c>
      <c r="D67" s="922">
        <v>144.5</v>
      </c>
      <c r="E67" s="930"/>
      <c r="F67" s="931">
        <v>103.2</v>
      </c>
      <c r="G67" s="925"/>
      <c r="H67" s="922">
        <v>0.6</v>
      </c>
      <c r="I67" s="923">
        <v>174.6</v>
      </c>
      <c r="J67" s="924">
        <v>145.5</v>
      </c>
      <c r="K67" s="925">
        <v>76.400000000000006</v>
      </c>
      <c r="L67" s="931">
        <v>1.4</v>
      </c>
      <c r="M67" s="931">
        <v>185.9</v>
      </c>
      <c r="N67" s="922">
        <v>69.099999999999994</v>
      </c>
      <c r="O67" s="923"/>
      <c r="P67" s="929" t="s">
        <v>61</v>
      </c>
      <c r="Q67" s="919" t="s">
        <v>61</v>
      </c>
      <c r="R67" s="922">
        <v>29.12</v>
      </c>
      <c r="S67" s="930"/>
      <c r="T67" s="923">
        <v>153.9</v>
      </c>
      <c r="U67" s="924">
        <v>1.1000000000000001</v>
      </c>
      <c r="V67" s="931"/>
      <c r="W67" s="925">
        <v>125</v>
      </c>
      <c r="X67" s="922">
        <v>2.9</v>
      </c>
      <c r="Y67" s="930">
        <v>265.5</v>
      </c>
      <c r="Z67" s="923"/>
      <c r="AA67" s="924">
        <v>1.8</v>
      </c>
      <c r="AB67" s="931"/>
      <c r="AC67" s="931"/>
      <c r="AD67" s="931">
        <v>173.4</v>
      </c>
      <c r="AE67" s="925"/>
      <c r="AF67" s="932" t="s">
        <v>61</v>
      </c>
      <c r="AG67" s="882"/>
    </row>
    <row r="68" spans="1:33" hidden="1" x14ac:dyDescent="0.25">
      <c r="A68" s="919" t="s">
        <v>63</v>
      </c>
      <c r="B68" s="924">
        <v>239.8</v>
      </c>
      <c r="C68" s="925"/>
      <c r="D68" s="922">
        <v>162.1</v>
      </c>
      <c r="E68" s="930"/>
      <c r="F68" s="931">
        <v>150.1</v>
      </c>
      <c r="G68" s="925"/>
      <c r="H68" s="922">
        <v>0.3</v>
      </c>
      <c r="I68" s="923">
        <v>203.2</v>
      </c>
      <c r="J68" s="924">
        <v>15.2</v>
      </c>
      <c r="K68" s="925">
        <v>276</v>
      </c>
      <c r="L68" s="931">
        <v>2.1</v>
      </c>
      <c r="M68" s="931">
        <v>238.3</v>
      </c>
      <c r="N68" s="922">
        <v>111.8</v>
      </c>
      <c r="O68" s="923"/>
      <c r="P68" s="929" t="s">
        <v>63</v>
      </c>
      <c r="Q68" s="919" t="s">
        <v>63</v>
      </c>
      <c r="R68" s="922">
        <v>20.72</v>
      </c>
      <c r="S68" s="930"/>
      <c r="T68" s="923">
        <v>226.3</v>
      </c>
      <c r="U68" s="924">
        <v>2.8</v>
      </c>
      <c r="V68" s="931">
        <v>244.4</v>
      </c>
      <c r="W68" s="925"/>
      <c r="X68" s="922">
        <v>13.6</v>
      </c>
      <c r="Y68" s="930">
        <v>301.7</v>
      </c>
      <c r="Z68" s="923"/>
      <c r="AA68" s="924">
        <v>0.3</v>
      </c>
      <c r="AB68" s="931"/>
      <c r="AC68" s="931"/>
      <c r="AD68" s="931">
        <v>186.4</v>
      </c>
      <c r="AE68" s="925"/>
      <c r="AF68" s="932" t="s">
        <v>63</v>
      </c>
      <c r="AG68" s="882"/>
    </row>
    <row r="69" spans="1:33" hidden="1" x14ac:dyDescent="0.25">
      <c r="A69" s="933" t="s">
        <v>65</v>
      </c>
      <c r="B69" s="934">
        <v>274.39999999999998</v>
      </c>
      <c r="C69" s="935"/>
      <c r="D69" s="936">
        <v>109.8</v>
      </c>
      <c r="E69" s="940"/>
      <c r="F69" s="938">
        <v>155.30000000000001</v>
      </c>
      <c r="G69" s="935"/>
      <c r="H69" s="936">
        <v>0.8</v>
      </c>
      <c r="I69" s="937">
        <v>211.4</v>
      </c>
      <c r="J69" s="934">
        <v>2.2000000000000002</v>
      </c>
      <c r="K69" s="935">
        <v>280.3</v>
      </c>
      <c r="L69" s="938">
        <v>2.8</v>
      </c>
      <c r="M69" s="938">
        <v>270.5</v>
      </c>
      <c r="N69" s="936">
        <v>125.7</v>
      </c>
      <c r="O69" s="937"/>
      <c r="P69" s="939" t="s">
        <v>65</v>
      </c>
      <c r="Q69" s="933" t="s">
        <v>65</v>
      </c>
      <c r="R69" s="936">
        <v>38.79</v>
      </c>
      <c r="S69" s="940"/>
      <c r="T69" s="937">
        <v>237.2</v>
      </c>
      <c r="U69" s="934">
        <v>5.3</v>
      </c>
      <c r="V69" s="938">
        <v>267.8</v>
      </c>
      <c r="W69" s="935"/>
      <c r="X69" s="936">
        <v>2.6</v>
      </c>
      <c r="Y69" s="940">
        <v>353.8</v>
      </c>
      <c r="Z69" s="937"/>
      <c r="AA69" s="934">
        <v>1.4</v>
      </c>
      <c r="AB69" s="938"/>
      <c r="AC69" s="938"/>
      <c r="AD69" s="938">
        <v>252.4</v>
      </c>
      <c r="AE69" s="935"/>
      <c r="AF69" s="941" t="s">
        <v>65</v>
      </c>
      <c r="AG69" s="882"/>
    </row>
    <row r="70" spans="1:33" hidden="1" x14ac:dyDescent="0.25">
      <c r="A70" s="919" t="s">
        <v>67</v>
      </c>
      <c r="B70" s="924">
        <v>269.10000000000002</v>
      </c>
      <c r="C70" s="925"/>
      <c r="D70" s="922">
        <v>137.4</v>
      </c>
      <c r="E70" s="930"/>
      <c r="F70" s="931">
        <v>75</v>
      </c>
      <c r="G70" s="925">
        <v>255.9</v>
      </c>
      <c r="H70" s="922">
        <v>1.4</v>
      </c>
      <c r="I70" s="923">
        <v>275.60000000000002</v>
      </c>
      <c r="J70" s="924">
        <v>1.5</v>
      </c>
      <c r="K70" s="925">
        <v>294.89999999999998</v>
      </c>
      <c r="L70" s="931">
        <v>0</v>
      </c>
      <c r="M70" s="931">
        <v>212.2</v>
      </c>
      <c r="N70" s="922">
        <v>129.6</v>
      </c>
      <c r="O70" s="923"/>
      <c r="P70" s="929" t="s">
        <v>67</v>
      </c>
      <c r="Q70" s="919" t="s">
        <v>67</v>
      </c>
      <c r="R70" s="922">
        <v>48.39</v>
      </c>
      <c r="S70" s="930"/>
      <c r="T70" s="923">
        <v>254.7</v>
      </c>
      <c r="U70" s="924">
        <v>7.4</v>
      </c>
      <c r="V70" s="931">
        <v>334.5</v>
      </c>
      <c r="W70" s="925"/>
      <c r="X70" s="922">
        <v>0.2</v>
      </c>
      <c r="Y70" s="930">
        <v>338.5</v>
      </c>
      <c r="Z70" s="923"/>
      <c r="AA70" s="924">
        <v>22.3</v>
      </c>
      <c r="AB70" s="931"/>
      <c r="AC70" s="931"/>
      <c r="AD70" s="931"/>
      <c r="AE70" s="925">
        <v>310.7</v>
      </c>
      <c r="AF70" s="932" t="s">
        <v>67</v>
      </c>
      <c r="AG70" s="882"/>
    </row>
    <row r="71" spans="1:33" hidden="1" x14ac:dyDescent="0.25">
      <c r="A71" s="919" t="s">
        <v>62</v>
      </c>
      <c r="B71" s="924">
        <v>185.3</v>
      </c>
      <c r="C71" s="925"/>
      <c r="D71" s="922">
        <v>153.1</v>
      </c>
      <c r="E71" s="930"/>
      <c r="F71" s="931">
        <v>4.0999999999999996</v>
      </c>
      <c r="G71" s="925">
        <v>316.7</v>
      </c>
      <c r="H71" s="922">
        <v>1</v>
      </c>
      <c r="I71" s="923">
        <v>285.7</v>
      </c>
      <c r="J71" s="924">
        <v>2.1</v>
      </c>
      <c r="K71" s="925">
        <v>299.89999999999998</v>
      </c>
      <c r="L71" s="931">
        <v>3.6</v>
      </c>
      <c r="M71" s="931">
        <v>208.6</v>
      </c>
      <c r="N71" s="922">
        <v>121.7</v>
      </c>
      <c r="O71" s="923"/>
      <c r="P71" s="929" t="s">
        <v>62</v>
      </c>
      <c r="Q71" s="919" t="s">
        <v>62</v>
      </c>
      <c r="R71" s="922">
        <v>46.51</v>
      </c>
      <c r="S71" s="930"/>
      <c r="T71" s="923">
        <v>257.7</v>
      </c>
      <c r="U71" s="924">
        <v>4</v>
      </c>
      <c r="V71" s="931">
        <v>399.2</v>
      </c>
      <c r="W71" s="925"/>
      <c r="X71" s="922">
        <v>7.9</v>
      </c>
      <c r="Y71" s="930">
        <v>214.4</v>
      </c>
      <c r="Z71" s="923"/>
      <c r="AA71" s="924">
        <v>34.4</v>
      </c>
      <c r="AB71" s="931"/>
      <c r="AC71" s="931"/>
      <c r="AD71" s="931"/>
      <c r="AE71" s="925">
        <v>311.8</v>
      </c>
      <c r="AF71" s="932" t="s">
        <v>62</v>
      </c>
      <c r="AG71" s="882"/>
    </row>
    <row r="72" spans="1:33" hidden="1" x14ac:dyDescent="0.25">
      <c r="A72" s="919" t="s">
        <v>64</v>
      </c>
      <c r="B72" s="924">
        <v>123.9</v>
      </c>
      <c r="C72" s="925"/>
      <c r="D72" s="922">
        <v>155.6</v>
      </c>
      <c r="E72" s="930"/>
      <c r="F72" s="931">
        <v>4.7</v>
      </c>
      <c r="G72" s="925">
        <v>279.10000000000002</v>
      </c>
      <c r="H72" s="922">
        <v>2.1</v>
      </c>
      <c r="I72" s="923">
        <v>261.8</v>
      </c>
      <c r="J72" s="924">
        <v>1.2</v>
      </c>
      <c r="K72" s="925">
        <v>308.3</v>
      </c>
      <c r="L72" s="931">
        <v>6.8</v>
      </c>
      <c r="M72" s="931">
        <v>205.4</v>
      </c>
      <c r="N72" s="922">
        <v>68.7</v>
      </c>
      <c r="O72" s="923"/>
      <c r="P72" s="929" t="s">
        <v>64</v>
      </c>
      <c r="Q72" s="919" t="s">
        <v>64</v>
      </c>
      <c r="R72" s="922">
        <v>25.08</v>
      </c>
      <c r="S72" s="930"/>
      <c r="T72" s="923">
        <v>222.7</v>
      </c>
      <c r="U72" s="924">
        <v>9.5</v>
      </c>
      <c r="V72" s="931">
        <v>304.10000000000002</v>
      </c>
      <c r="W72" s="925"/>
      <c r="X72" s="922">
        <v>18.899999999999999</v>
      </c>
      <c r="Y72" s="930">
        <v>0</v>
      </c>
      <c r="Z72" s="923"/>
      <c r="AA72" s="924">
        <v>24.5</v>
      </c>
      <c r="AB72" s="931"/>
      <c r="AC72" s="931"/>
      <c r="AD72" s="1054"/>
      <c r="AE72" s="925">
        <v>316.10000000000002</v>
      </c>
      <c r="AF72" s="932" t="s">
        <v>64</v>
      </c>
      <c r="AG72" s="882"/>
    </row>
    <row r="73" spans="1:33" hidden="1" x14ac:dyDescent="0.25">
      <c r="A73" s="919" t="s">
        <v>66</v>
      </c>
      <c r="B73" s="924">
        <v>63.9</v>
      </c>
      <c r="C73" s="925"/>
      <c r="D73" s="922">
        <v>119.3</v>
      </c>
      <c r="E73" s="930"/>
      <c r="F73" s="931">
        <v>6.4</v>
      </c>
      <c r="G73" s="925">
        <v>232.8</v>
      </c>
      <c r="H73" s="922">
        <v>0</v>
      </c>
      <c r="I73" s="923">
        <v>187.8</v>
      </c>
      <c r="J73" s="924">
        <v>3.1</v>
      </c>
      <c r="K73" s="925">
        <v>209.5</v>
      </c>
      <c r="L73" s="931">
        <v>3.6</v>
      </c>
      <c r="M73" s="931">
        <v>208.6</v>
      </c>
      <c r="N73" s="922">
        <v>106.4</v>
      </c>
      <c r="O73" s="923"/>
      <c r="P73" s="929" t="s">
        <v>66</v>
      </c>
      <c r="Q73" s="919" t="s">
        <v>66</v>
      </c>
      <c r="R73" s="922">
        <v>9.11</v>
      </c>
      <c r="S73" s="930"/>
      <c r="T73" s="923">
        <v>274.5</v>
      </c>
      <c r="U73" s="924">
        <v>12.3</v>
      </c>
      <c r="V73" s="931">
        <v>117.7</v>
      </c>
      <c r="W73" s="925"/>
      <c r="X73" s="922">
        <v>64.7</v>
      </c>
      <c r="Y73" s="930">
        <v>0</v>
      </c>
      <c r="Z73" s="923"/>
      <c r="AA73" s="924">
        <v>16</v>
      </c>
      <c r="AB73" s="931"/>
      <c r="AC73" s="931"/>
      <c r="AD73" s="1054"/>
      <c r="AE73" s="925">
        <v>282.10000000000002</v>
      </c>
      <c r="AF73" s="932" t="s">
        <v>66</v>
      </c>
      <c r="AG73" s="882"/>
    </row>
    <row r="74" spans="1:33" hidden="1" x14ac:dyDescent="0.25">
      <c r="A74" s="919" t="s">
        <v>56</v>
      </c>
      <c r="B74" s="924">
        <v>36.299999999999997</v>
      </c>
      <c r="C74" s="925"/>
      <c r="D74" s="922">
        <v>85.5</v>
      </c>
      <c r="E74" s="930"/>
      <c r="F74" s="931">
        <v>0.5</v>
      </c>
      <c r="G74" s="925">
        <v>164.2</v>
      </c>
      <c r="H74" s="922">
        <v>0.3</v>
      </c>
      <c r="I74" s="923">
        <v>146.69999999999999</v>
      </c>
      <c r="J74" s="924">
        <v>6</v>
      </c>
      <c r="K74" s="925">
        <v>174.8</v>
      </c>
      <c r="L74" s="931">
        <v>3.8</v>
      </c>
      <c r="M74" s="931">
        <v>208.4</v>
      </c>
      <c r="N74" s="922">
        <v>126.4</v>
      </c>
      <c r="O74" s="923"/>
      <c r="P74" s="929" t="s">
        <v>56</v>
      </c>
      <c r="Q74" s="919" t="s">
        <v>56</v>
      </c>
      <c r="R74" s="922">
        <v>4.0599999999999996</v>
      </c>
      <c r="S74" s="930"/>
      <c r="T74" s="923">
        <v>147.6</v>
      </c>
      <c r="U74" s="924">
        <v>44.5</v>
      </c>
      <c r="V74" s="931">
        <v>125.6</v>
      </c>
      <c r="W74" s="925"/>
      <c r="X74" s="922">
        <v>0</v>
      </c>
      <c r="Y74" s="930">
        <v>0</v>
      </c>
      <c r="Z74" s="923"/>
      <c r="AA74" s="924">
        <v>2.8</v>
      </c>
      <c r="AB74" s="931"/>
      <c r="AC74" s="931"/>
      <c r="AD74" s="1054"/>
      <c r="AE74" s="925">
        <v>168</v>
      </c>
      <c r="AF74" s="932" t="s">
        <v>56</v>
      </c>
      <c r="AG74" s="882"/>
    </row>
    <row r="75" spans="1:33" hidden="1" x14ac:dyDescent="0.25">
      <c r="A75" s="933" t="s">
        <v>59</v>
      </c>
      <c r="B75" s="934">
        <v>53.6</v>
      </c>
      <c r="C75" s="935"/>
      <c r="D75" s="936">
        <v>50.7</v>
      </c>
      <c r="E75" s="940"/>
      <c r="F75" s="938">
        <v>0.6</v>
      </c>
      <c r="G75" s="935">
        <v>125.2</v>
      </c>
      <c r="H75" s="936">
        <v>0</v>
      </c>
      <c r="I75" s="937">
        <v>142.80000000000001</v>
      </c>
      <c r="J75" s="934">
        <v>1.8</v>
      </c>
      <c r="K75" s="935">
        <v>177.3</v>
      </c>
      <c r="L75" s="938">
        <v>4.4000000000000004</v>
      </c>
      <c r="M75" s="938">
        <v>207.8</v>
      </c>
      <c r="N75" s="936">
        <v>87.8</v>
      </c>
      <c r="O75" s="937"/>
      <c r="P75" s="939" t="s">
        <v>59</v>
      </c>
      <c r="Q75" s="933" t="s">
        <v>59</v>
      </c>
      <c r="R75" s="936">
        <v>8.0299999999999994</v>
      </c>
      <c r="S75" s="940"/>
      <c r="T75" s="937">
        <v>224.2</v>
      </c>
      <c r="U75" s="934">
        <v>34.6</v>
      </c>
      <c r="V75" s="938">
        <v>0</v>
      </c>
      <c r="W75" s="935"/>
      <c r="X75" s="922">
        <v>46.7</v>
      </c>
      <c r="Y75" s="930">
        <v>0</v>
      </c>
      <c r="Z75" s="923"/>
      <c r="AA75" s="934">
        <v>18.399999999999999</v>
      </c>
      <c r="AB75" s="931"/>
      <c r="AC75" s="931"/>
      <c r="AD75" s="931"/>
      <c r="AE75" s="925">
        <v>98.9</v>
      </c>
      <c r="AF75" s="941" t="s">
        <v>59</v>
      </c>
      <c r="AG75" s="882"/>
    </row>
    <row r="76" spans="1:33" hidden="1" x14ac:dyDescent="0.25">
      <c r="A76" s="885"/>
      <c r="B76" s="1055">
        <f>SUM(B64:B75)</f>
        <v>1512.4</v>
      </c>
      <c r="C76" s="1056">
        <f>SUM(C64:C75)</f>
        <v>140.19999999999999</v>
      </c>
      <c r="D76" s="1055">
        <f>SUM(D64:D75)</f>
        <v>1538.3999999999999</v>
      </c>
      <c r="E76" s="1057">
        <f>SUM(E64:E75)</f>
        <v>0</v>
      </c>
      <c r="F76" s="1057">
        <f t="shared" ref="F76:O76" si="13">SUM(F64:F75)</f>
        <v>720.80000000000007</v>
      </c>
      <c r="G76" s="1056">
        <f t="shared" si="13"/>
        <v>1373.9</v>
      </c>
      <c r="H76" s="1055">
        <f t="shared" si="13"/>
        <v>7.4999999999999991</v>
      </c>
      <c r="I76" s="1056">
        <f t="shared" si="13"/>
        <v>2301.6</v>
      </c>
      <c r="J76" s="1055">
        <f t="shared" si="13"/>
        <v>259.49999999999994</v>
      </c>
      <c r="K76" s="1057">
        <f t="shared" si="13"/>
        <v>2300.3000000000002</v>
      </c>
      <c r="L76" s="1057">
        <v>165.3</v>
      </c>
      <c r="M76" s="1057">
        <v>2174.4</v>
      </c>
      <c r="N76" s="1055">
        <f t="shared" si="13"/>
        <v>1032.6000000000001</v>
      </c>
      <c r="O76" s="1057">
        <f t="shared" si="13"/>
        <v>551.20000000000005</v>
      </c>
      <c r="P76" s="902"/>
      <c r="Q76" s="951"/>
      <c r="R76" s="944">
        <f>SUM(R64:R75)</f>
        <v>243.36999999999998</v>
      </c>
      <c r="S76" s="952">
        <f>SUM(S64:S75)</f>
        <v>280.5</v>
      </c>
      <c r="T76" s="945">
        <f>SUM(T64:T75)</f>
        <v>1998.8000000000002</v>
      </c>
      <c r="U76" s="948">
        <f>SUM(U64:U75)</f>
        <v>130.5</v>
      </c>
      <c r="V76" s="950">
        <f>ROUND(SUM(V64:V75),1)</f>
        <v>2000</v>
      </c>
      <c r="W76" s="949">
        <f t="shared" ref="W76:AE76" si="14">SUM(W64:W75)</f>
        <v>125</v>
      </c>
      <c r="X76" s="948">
        <f t="shared" si="14"/>
        <v>208.59999999999997</v>
      </c>
      <c r="Y76" s="950">
        <f t="shared" si="14"/>
        <v>2000</v>
      </c>
      <c r="Z76" s="949"/>
      <c r="AA76" s="948">
        <f t="shared" si="14"/>
        <v>124</v>
      </c>
      <c r="AB76" s="950"/>
      <c r="AC76" s="950"/>
      <c r="AD76" s="950">
        <f t="shared" si="14"/>
        <v>1010.6</v>
      </c>
      <c r="AE76" s="949">
        <f t="shared" si="14"/>
        <v>1487.6000000000001</v>
      </c>
      <c r="AF76" s="954"/>
      <c r="AG76" s="882"/>
    </row>
    <row r="77" spans="1:33" hidden="1" x14ac:dyDescent="0.25">
      <c r="A77" s="955"/>
      <c r="B77" s="1058" t="s">
        <v>577</v>
      </c>
      <c r="C77" s="1059">
        <f>SUM(B64:C75)</f>
        <v>1652.6</v>
      </c>
      <c r="D77" s="1058" t="s">
        <v>577</v>
      </c>
      <c r="E77" s="1060">
        <f>SUM(D64:E75)</f>
        <v>1538.3999999999999</v>
      </c>
      <c r="F77" s="1061" t="s">
        <v>577</v>
      </c>
      <c r="G77" s="1059">
        <f>SUM(F64:G75)</f>
        <v>2094.6999999999998</v>
      </c>
      <c r="H77" s="1058" t="s">
        <v>577</v>
      </c>
      <c r="I77" s="1059">
        <f>SUM(H64:I75)</f>
        <v>2309.1</v>
      </c>
      <c r="J77" s="1058" t="s">
        <v>577</v>
      </c>
      <c r="K77" s="1059">
        <f>SUM(J64:K75)</f>
        <v>2559.8000000000006</v>
      </c>
      <c r="L77" s="1060"/>
      <c r="M77" s="1060">
        <v>2339.6999999999998</v>
      </c>
      <c r="N77" s="1062"/>
      <c r="O77" s="1060">
        <f>SUM(N64:O75)</f>
        <v>1583.8000000000002</v>
      </c>
      <c r="P77" s="964"/>
      <c r="Q77" s="965"/>
      <c r="R77" s="1063"/>
      <c r="S77" s="970"/>
      <c r="T77" s="969">
        <f>SUM(R64:T75)</f>
        <v>2522.67</v>
      </c>
      <c r="U77" s="1064"/>
      <c r="V77" s="1065" t="s">
        <v>577</v>
      </c>
      <c r="W77" s="967">
        <f>SUM(U64:W75)</f>
        <v>2255.5</v>
      </c>
      <c r="X77" s="966"/>
      <c r="Y77" s="1065" t="s">
        <v>577</v>
      </c>
      <c r="Z77" s="967">
        <f>SUM(X64:Y75)</f>
        <v>2208.6</v>
      </c>
      <c r="AA77" s="966"/>
      <c r="AB77" s="971"/>
      <c r="AC77" s="971"/>
      <c r="AD77" s="1065" t="s">
        <v>577</v>
      </c>
      <c r="AE77" s="967">
        <f>SUM(AA64:AE75)</f>
        <v>2622.2000000000003</v>
      </c>
      <c r="AF77" s="972"/>
      <c r="AG77" s="882"/>
    </row>
    <row r="78" spans="1:33" hidden="1" x14ac:dyDescent="0.25">
      <c r="A78" s="973"/>
      <c r="B78" s="887"/>
      <c r="C78" s="887"/>
      <c r="D78" s="887"/>
      <c r="E78" s="887"/>
      <c r="F78" s="887"/>
      <c r="G78" s="887"/>
      <c r="H78" s="887"/>
      <c r="I78" s="887"/>
      <c r="J78" s="887"/>
      <c r="K78" s="1066"/>
      <c r="L78" s="1066"/>
      <c r="M78" s="1066"/>
      <c r="N78" s="1066"/>
      <c r="O78" s="1067"/>
      <c r="P78" s="974"/>
      <c r="Q78" s="882"/>
      <c r="R78" s="887"/>
      <c r="S78" s="887"/>
      <c r="T78" s="887"/>
      <c r="U78" s="887"/>
      <c r="V78" s="887"/>
      <c r="W78" s="887"/>
      <c r="X78" s="887"/>
      <c r="Y78" s="887"/>
      <c r="AA78" s="887"/>
      <c r="AB78" s="887"/>
      <c r="AC78" s="887"/>
      <c r="AD78" s="887"/>
      <c r="AE78" s="887"/>
      <c r="AG78" s="882"/>
    </row>
    <row r="79" spans="1:33" hidden="1" x14ac:dyDescent="0.25">
      <c r="A79" s="896"/>
      <c r="B79" s="898" t="s">
        <v>51</v>
      </c>
      <c r="C79" s="898"/>
      <c r="D79" s="898" t="s">
        <v>51</v>
      </c>
      <c r="E79" s="898"/>
      <c r="F79" s="898" t="s">
        <v>51</v>
      </c>
      <c r="G79" s="898"/>
      <c r="H79" s="898" t="s">
        <v>51</v>
      </c>
      <c r="I79" s="898"/>
      <c r="J79" s="898" t="s">
        <v>51</v>
      </c>
      <c r="K79" s="1216"/>
      <c r="L79" s="898" t="s">
        <v>51</v>
      </c>
      <c r="M79" s="1216"/>
      <c r="N79" s="898" t="s">
        <v>51</v>
      </c>
      <c r="O79" s="898"/>
      <c r="P79" s="902">
        <v>65</v>
      </c>
      <c r="Q79" s="882"/>
      <c r="R79" s="976" t="s">
        <v>51</v>
      </c>
      <c r="S79" s="976"/>
      <c r="T79" s="977"/>
      <c r="U79" s="978" t="s">
        <v>51</v>
      </c>
      <c r="V79" s="977"/>
      <c r="W79" s="977"/>
      <c r="X79" s="976" t="s">
        <v>51</v>
      </c>
      <c r="Y79" s="976"/>
      <c r="Z79" s="977"/>
      <c r="AA79" s="978" t="s">
        <v>51</v>
      </c>
      <c r="AB79" s="978"/>
      <c r="AC79" s="978"/>
      <c r="AD79" s="977"/>
      <c r="AE79" s="977"/>
      <c r="AG79" s="882"/>
    </row>
    <row r="80" spans="1:33" hidden="1" x14ac:dyDescent="0.25">
      <c r="A80" s="979"/>
      <c r="B80" s="1674">
        <v>2001</v>
      </c>
      <c r="C80" s="1675"/>
      <c r="D80" s="1674">
        <v>2002</v>
      </c>
      <c r="E80" s="1676"/>
      <c r="F80" s="1676">
        <v>2003</v>
      </c>
      <c r="G80" s="1675"/>
      <c r="H80" s="1674">
        <v>2004</v>
      </c>
      <c r="I80" s="1675"/>
      <c r="J80" s="1674">
        <v>2005</v>
      </c>
      <c r="K80" s="1675"/>
      <c r="L80" s="1674">
        <v>2006</v>
      </c>
      <c r="M80" s="1675"/>
      <c r="N80" s="1674">
        <v>2007</v>
      </c>
      <c r="O80" s="1675"/>
      <c r="P80" s="911"/>
      <c r="Q80" s="983"/>
      <c r="R80" s="1683">
        <v>2000</v>
      </c>
      <c r="S80" s="1684"/>
      <c r="T80" s="1685"/>
      <c r="U80" s="1670">
        <v>2001</v>
      </c>
      <c r="V80" s="1670"/>
      <c r="W80" s="1671"/>
      <c r="X80" s="1671" t="s">
        <v>313</v>
      </c>
      <c r="Y80" s="1672"/>
      <c r="Z80" s="1673"/>
      <c r="AA80" s="1671" t="s">
        <v>395</v>
      </c>
      <c r="AB80" s="1672"/>
      <c r="AC80" s="1672"/>
      <c r="AD80" s="1672"/>
      <c r="AE80" s="1673"/>
      <c r="AF80" s="987"/>
      <c r="AG80" s="882"/>
    </row>
    <row r="81" spans="1:33" hidden="1" x14ac:dyDescent="0.25">
      <c r="A81" s="919" t="s">
        <v>54</v>
      </c>
      <c r="B81" s="920">
        <v>502.2</v>
      </c>
      <c r="C81" s="921"/>
      <c r="D81" s="927">
        <v>473.5</v>
      </c>
      <c r="E81" s="1032"/>
      <c r="F81" s="926">
        <v>715.1</v>
      </c>
      <c r="G81" s="921"/>
      <c r="H81" s="930">
        <f>694.2-I64</f>
        <v>540.6</v>
      </c>
      <c r="I81" s="998" t="s">
        <v>460</v>
      </c>
      <c r="J81" s="920">
        <f>490.6-K64</f>
        <v>460.8</v>
      </c>
      <c r="K81" s="990" t="s">
        <v>721</v>
      </c>
      <c r="L81" s="926">
        <v>658.6</v>
      </c>
      <c r="M81" s="1068"/>
      <c r="N81" s="1069">
        <v>851.8</v>
      </c>
      <c r="O81" s="989" t="s">
        <v>1101</v>
      </c>
      <c r="P81" s="929" t="s">
        <v>54</v>
      </c>
      <c r="Q81" s="919" t="s">
        <v>54</v>
      </c>
      <c r="R81" s="927">
        <v>0</v>
      </c>
      <c r="S81" s="1070" t="s">
        <v>210</v>
      </c>
      <c r="T81" s="1071"/>
      <c r="U81" s="920">
        <v>0</v>
      </c>
      <c r="V81" s="1068" t="s">
        <v>239</v>
      </c>
      <c r="W81" s="990"/>
      <c r="X81" s="927">
        <v>0</v>
      </c>
      <c r="Y81" s="991" t="s">
        <v>363</v>
      </c>
      <c r="Z81" s="989"/>
      <c r="AA81" s="920">
        <v>0</v>
      </c>
      <c r="AB81" s="926"/>
      <c r="AC81" s="926"/>
      <c r="AD81" s="1068" t="s">
        <v>402</v>
      </c>
      <c r="AE81" s="990"/>
      <c r="AF81" s="932" t="s">
        <v>54</v>
      </c>
      <c r="AG81" s="882"/>
    </row>
    <row r="82" spans="1:33" hidden="1" x14ac:dyDescent="0.25">
      <c r="A82" s="919" t="s">
        <v>55</v>
      </c>
      <c r="B82" s="924">
        <v>271.3</v>
      </c>
      <c r="C82" s="925"/>
      <c r="D82" s="922">
        <v>710.7</v>
      </c>
      <c r="E82" s="930"/>
      <c r="F82" s="931">
        <v>539.9</v>
      </c>
      <c r="G82" s="925"/>
      <c r="H82" s="930">
        <f>609.9-I65</f>
        <v>490.4</v>
      </c>
      <c r="I82" s="998" t="s">
        <v>463</v>
      </c>
      <c r="J82" s="924">
        <f>491.1-K65</f>
        <v>392.1</v>
      </c>
      <c r="K82" s="996" t="s">
        <v>656</v>
      </c>
      <c r="L82" s="931">
        <v>746.7</v>
      </c>
      <c r="M82" s="1006"/>
      <c r="N82" s="1072">
        <v>340.9</v>
      </c>
      <c r="O82" s="997" t="s">
        <v>1102</v>
      </c>
      <c r="P82" s="929" t="s">
        <v>55</v>
      </c>
      <c r="Q82" s="919" t="s">
        <v>55</v>
      </c>
      <c r="R82" s="922">
        <v>0</v>
      </c>
      <c r="S82" s="1073" t="s">
        <v>211</v>
      </c>
      <c r="T82" s="1074"/>
      <c r="U82" s="924">
        <v>0</v>
      </c>
      <c r="V82" s="1006" t="s">
        <v>240</v>
      </c>
      <c r="W82" s="996"/>
      <c r="X82" s="922">
        <v>0</v>
      </c>
      <c r="Y82" s="998" t="s">
        <v>364</v>
      </c>
      <c r="Z82" s="997"/>
      <c r="AA82" s="924">
        <v>0</v>
      </c>
      <c r="AB82" s="931"/>
      <c r="AC82" s="931"/>
      <c r="AD82" s="1006" t="s">
        <v>407</v>
      </c>
      <c r="AE82" s="996"/>
      <c r="AF82" s="932" t="s">
        <v>55</v>
      </c>
      <c r="AG82" s="882"/>
    </row>
    <row r="83" spans="1:33" hidden="1" x14ac:dyDescent="0.25">
      <c r="A83" s="919" t="s">
        <v>58</v>
      </c>
      <c r="B83" s="924">
        <v>317.39999999999998</v>
      </c>
      <c r="C83" s="925"/>
      <c r="D83" s="922">
        <v>901.8</v>
      </c>
      <c r="E83" s="930"/>
      <c r="F83" s="931">
        <v>574</v>
      </c>
      <c r="G83" s="925"/>
      <c r="H83" s="930">
        <f>890.1-I66</f>
        <v>751.2</v>
      </c>
      <c r="I83" s="998" t="s">
        <v>470</v>
      </c>
      <c r="J83" s="924">
        <v>428</v>
      </c>
      <c r="K83" s="996" t="s">
        <v>657</v>
      </c>
      <c r="L83" s="931">
        <v>262.2</v>
      </c>
      <c r="M83" s="1006" t="s">
        <v>650</v>
      </c>
      <c r="N83" s="1072">
        <v>562</v>
      </c>
      <c r="O83" s="997" t="s">
        <v>1103</v>
      </c>
      <c r="P83" s="929" t="s">
        <v>58</v>
      </c>
      <c r="Q83" s="919" t="s">
        <v>58</v>
      </c>
      <c r="R83" s="922">
        <v>0</v>
      </c>
      <c r="S83" s="1073" t="s">
        <v>212</v>
      </c>
      <c r="T83" s="1074"/>
      <c r="U83" s="924">
        <v>0</v>
      </c>
      <c r="V83" s="1075" t="s">
        <v>243</v>
      </c>
      <c r="W83" s="888"/>
      <c r="X83" s="922">
        <v>0</v>
      </c>
      <c r="Y83" s="1076" t="s">
        <v>372</v>
      </c>
      <c r="Z83" s="1077"/>
      <c r="AA83" s="924">
        <v>0</v>
      </c>
      <c r="AB83" s="931"/>
      <c r="AC83" s="931"/>
      <c r="AD83" s="1075" t="s">
        <v>408</v>
      </c>
      <c r="AE83" s="1078"/>
      <c r="AF83" s="932" t="s">
        <v>58</v>
      </c>
      <c r="AG83" s="882"/>
    </row>
    <row r="84" spans="1:33" hidden="1" x14ac:dyDescent="0.25">
      <c r="A84" s="919" t="s">
        <v>61</v>
      </c>
      <c r="B84" s="924">
        <f>643.6-140.2</f>
        <v>503.40000000000003</v>
      </c>
      <c r="C84" s="996" t="s">
        <v>268</v>
      </c>
      <c r="D84" s="922">
        <v>917</v>
      </c>
      <c r="E84" s="998"/>
      <c r="F84" s="931">
        <v>735.6</v>
      </c>
      <c r="G84" s="996"/>
      <c r="H84" s="930">
        <f>1164.9-I67</f>
        <v>990.30000000000007</v>
      </c>
      <c r="I84" s="998" t="s">
        <v>475</v>
      </c>
      <c r="J84" s="924">
        <f>841.2-63.3</f>
        <v>777.90000000000009</v>
      </c>
      <c r="K84" s="996" t="s">
        <v>658</v>
      </c>
      <c r="L84" s="931">
        <v>368.1</v>
      </c>
      <c r="M84" s="1006" t="s">
        <v>714</v>
      </c>
      <c r="N84" s="1072">
        <v>959.9</v>
      </c>
      <c r="O84" s="997"/>
      <c r="P84" s="929" t="s">
        <v>61</v>
      </c>
      <c r="Q84" s="919" t="s">
        <v>61</v>
      </c>
      <c r="R84" s="922">
        <f>173.8-153.9</f>
        <v>19.900000000000006</v>
      </c>
      <c r="S84" s="1073"/>
      <c r="T84" s="1079" t="s">
        <v>179</v>
      </c>
      <c r="U84" s="924">
        <f>125.6-125</f>
        <v>0.59999999999999432</v>
      </c>
      <c r="V84" s="1006" t="s">
        <v>271</v>
      </c>
      <c r="W84" s="996"/>
      <c r="X84" s="922">
        <v>0</v>
      </c>
      <c r="Y84" s="998" t="s">
        <v>371</v>
      </c>
      <c r="Z84" s="997"/>
      <c r="AA84" s="924">
        <v>0</v>
      </c>
      <c r="AB84" s="931"/>
      <c r="AC84" s="931"/>
      <c r="AD84" s="1006" t="s">
        <v>415</v>
      </c>
      <c r="AE84" s="996"/>
      <c r="AF84" s="932" t="s">
        <v>61</v>
      </c>
      <c r="AG84" s="882"/>
    </row>
    <row r="85" spans="1:33" hidden="1" x14ac:dyDescent="0.25">
      <c r="A85" s="919" t="s">
        <v>63</v>
      </c>
      <c r="B85" s="924">
        <v>786.6</v>
      </c>
      <c r="C85" s="996"/>
      <c r="D85" s="922">
        <v>1084.9000000000001</v>
      </c>
      <c r="E85" s="998"/>
      <c r="F85" s="931">
        <v>874.9</v>
      </c>
      <c r="G85" s="996"/>
      <c r="H85" s="930">
        <f>1494.3-I68</f>
        <v>1291.0999999999999</v>
      </c>
      <c r="I85" s="998" t="s">
        <v>481</v>
      </c>
      <c r="J85" s="924">
        <f>1126.1-258.9</f>
        <v>867.19999999999993</v>
      </c>
      <c r="K85" s="996" t="s">
        <v>659</v>
      </c>
      <c r="L85" s="931">
        <v>645.29999999999995</v>
      </c>
      <c r="M85" s="1006" t="s">
        <v>654</v>
      </c>
      <c r="N85" s="1072">
        <v>1201.2</v>
      </c>
      <c r="O85" s="997"/>
      <c r="P85" s="929" t="s">
        <v>63</v>
      </c>
      <c r="Q85" s="919" t="s">
        <v>63</v>
      </c>
      <c r="R85" s="922">
        <f>251.8-226.3</f>
        <v>25.5</v>
      </c>
      <c r="S85" s="1073"/>
      <c r="T85" s="1079" t="s">
        <v>184</v>
      </c>
      <c r="U85" s="924">
        <v>0</v>
      </c>
      <c r="V85" s="1006" t="s">
        <v>276</v>
      </c>
      <c r="W85" s="996"/>
      <c r="X85" s="922">
        <v>0</v>
      </c>
      <c r="Y85" s="998" t="s">
        <v>374</v>
      </c>
      <c r="Z85" s="997"/>
      <c r="AA85" s="924">
        <v>0</v>
      </c>
      <c r="AB85" s="931"/>
      <c r="AC85" s="931"/>
      <c r="AD85" s="1006" t="s">
        <v>419</v>
      </c>
      <c r="AE85" s="996"/>
      <c r="AF85" s="932" t="s">
        <v>63</v>
      </c>
      <c r="AG85" s="882"/>
    </row>
    <row r="86" spans="1:33" hidden="1" x14ac:dyDescent="0.25">
      <c r="A86" s="933" t="s">
        <v>65</v>
      </c>
      <c r="B86" s="934">
        <v>918.1</v>
      </c>
      <c r="C86" s="1001"/>
      <c r="D86" s="936">
        <v>1193.5999999999999</v>
      </c>
      <c r="E86" s="1003"/>
      <c r="F86" s="938">
        <v>995.6</v>
      </c>
      <c r="G86" s="1001"/>
      <c r="H86" s="940">
        <f>1369.8-I69</f>
        <v>1158.3999999999999</v>
      </c>
      <c r="I86" s="1003" t="s">
        <v>488</v>
      </c>
      <c r="J86" s="934">
        <f>1237-263.7</f>
        <v>973.3</v>
      </c>
      <c r="K86" s="1001" t="s">
        <v>660</v>
      </c>
      <c r="L86" s="938">
        <v>1019.5</v>
      </c>
      <c r="M86" s="1009" t="s">
        <v>679</v>
      </c>
      <c r="N86" s="968">
        <v>1219.9000000000001</v>
      </c>
      <c r="O86" s="1002"/>
      <c r="P86" s="939" t="s">
        <v>65</v>
      </c>
      <c r="Q86" s="933" t="s">
        <v>65</v>
      </c>
      <c r="R86" s="936">
        <f>274.1-237.2</f>
        <v>36.900000000000034</v>
      </c>
      <c r="S86" s="1080"/>
      <c r="T86" s="1081" t="s">
        <v>193</v>
      </c>
      <c r="U86" s="934">
        <v>0</v>
      </c>
      <c r="V86" s="1009" t="s">
        <v>279</v>
      </c>
      <c r="W86" s="1001"/>
      <c r="X86" s="936">
        <v>0</v>
      </c>
      <c r="Y86" s="1003" t="s">
        <v>379</v>
      </c>
      <c r="Z86" s="1002"/>
      <c r="AA86" s="934">
        <v>0</v>
      </c>
      <c r="AB86" s="938"/>
      <c r="AC86" s="938"/>
      <c r="AD86" s="1009" t="s">
        <v>424</v>
      </c>
      <c r="AE86" s="1001"/>
      <c r="AF86" s="941" t="s">
        <v>65</v>
      </c>
      <c r="AG86" s="882"/>
    </row>
    <row r="87" spans="1:33" hidden="1" x14ac:dyDescent="0.25">
      <c r="A87" s="919" t="s">
        <v>67</v>
      </c>
      <c r="B87" s="924">
        <v>1160.0999999999999</v>
      </c>
      <c r="C87" s="996"/>
      <c r="D87" s="922">
        <v>1305.3</v>
      </c>
      <c r="E87" s="998"/>
      <c r="F87" s="931">
        <f>1505-G70</f>
        <v>1249.0999999999999</v>
      </c>
      <c r="G87" s="996" t="s">
        <v>427</v>
      </c>
      <c r="H87" s="930">
        <f>1518.8-I70</f>
        <v>1243.1999999999998</v>
      </c>
      <c r="I87" s="998" t="s">
        <v>492</v>
      </c>
      <c r="J87" s="924">
        <f>1407.1-277.4</f>
        <v>1129.6999999999998</v>
      </c>
      <c r="K87" s="996" t="s">
        <v>661</v>
      </c>
      <c r="L87" s="931">
        <v>1370.5</v>
      </c>
      <c r="M87" s="1006" t="s">
        <v>681</v>
      </c>
      <c r="N87" s="1072">
        <v>1429.6</v>
      </c>
      <c r="O87" s="997"/>
      <c r="P87" s="929" t="s">
        <v>67</v>
      </c>
      <c r="Q87" s="919" t="s">
        <v>67</v>
      </c>
      <c r="R87" s="922">
        <f>295.8-254.7</f>
        <v>41.100000000000023</v>
      </c>
      <c r="S87" s="1073"/>
      <c r="T87" s="1079" t="s">
        <v>204</v>
      </c>
      <c r="U87" s="924">
        <v>0</v>
      </c>
      <c r="V87" s="1006" t="s">
        <v>282</v>
      </c>
      <c r="W87" s="996"/>
      <c r="X87" s="922">
        <v>0</v>
      </c>
      <c r="Y87" s="998" t="s">
        <v>382</v>
      </c>
      <c r="Z87" s="997"/>
      <c r="AA87" s="924">
        <f>332.7-AE70</f>
        <v>22</v>
      </c>
      <c r="AB87" s="931"/>
      <c r="AC87" s="931"/>
      <c r="AD87" s="1006"/>
      <c r="AE87" s="996" t="s">
        <v>429</v>
      </c>
      <c r="AF87" s="932" t="s">
        <v>67</v>
      </c>
      <c r="AG87" s="882"/>
    </row>
    <row r="88" spans="1:33" hidden="1" x14ac:dyDescent="0.25">
      <c r="A88" s="919" t="s">
        <v>62</v>
      </c>
      <c r="B88" s="924">
        <v>1186.2</v>
      </c>
      <c r="C88" s="996"/>
      <c r="D88" s="922">
        <v>1222.2</v>
      </c>
      <c r="E88" s="998"/>
      <c r="F88" s="931">
        <f>1583.7-G71</f>
        <v>1267</v>
      </c>
      <c r="G88" s="996" t="s">
        <v>432</v>
      </c>
      <c r="H88" s="930">
        <f>1568-I71</f>
        <v>1282.3</v>
      </c>
      <c r="I88" s="998" t="s">
        <v>495</v>
      </c>
      <c r="J88" s="924">
        <f>1390.4-282.1</f>
        <v>1108.3000000000002</v>
      </c>
      <c r="K88" s="996" t="s">
        <v>662</v>
      </c>
      <c r="L88" s="931">
        <v>1234.2</v>
      </c>
      <c r="M88" s="1006" t="s">
        <v>686</v>
      </c>
      <c r="N88" s="1072">
        <v>1388</v>
      </c>
      <c r="O88" s="997"/>
      <c r="P88" s="929" t="s">
        <v>62</v>
      </c>
      <c r="Q88" s="919" t="s">
        <v>62</v>
      </c>
      <c r="R88" s="922">
        <f>292.8-257.7</f>
        <v>35.100000000000023</v>
      </c>
      <c r="S88" s="1073"/>
      <c r="T88" s="1079" t="s">
        <v>205</v>
      </c>
      <c r="U88" s="924">
        <v>0</v>
      </c>
      <c r="V88" s="1006" t="s">
        <v>284</v>
      </c>
      <c r="W88" s="996"/>
      <c r="X88" s="922">
        <v>140.4</v>
      </c>
      <c r="Y88" s="998" t="s">
        <v>385</v>
      </c>
      <c r="Z88" s="997"/>
      <c r="AA88" s="924">
        <f>337.9-AE71</f>
        <v>26.099999999999966</v>
      </c>
      <c r="AB88" s="931"/>
      <c r="AC88" s="931"/>
      <c r="AD88" s="1006"/>
      <c r="AE88" s="996" t="s">
        <v>433</v>
      </c>
      <c r="AF88" s="932" t="s">
        <v>62</v>
      </c>
      <c r="AG88" s="882"/>
    </row>
    <row r="89" spans="1:33" hidden="1" x14ac:dyDescent="0.25">
      <c r="A89" s="919" t="s">
        <v>64</v>
      </c>
      <c r="B89" s="924">
        <v>1237</v>
      </c>
      <c r="C89" s="996"/>
      <c r="D89" s="922">
        <v>1239.9000000000001</v>
      </c>
      <c r="E89" s="998"/>
      <c r="F89" s="931">
        <f>1365.3-G72</f>
        <v>1086.1999999999998</v>
      </c>
      <c r="G89" s="996" t="s">
        <v>442</v>
      </c>
      <c r="H89" s="930">
        <f>1482.1-I72</f>
        <v>1220.3</v>
      </c>
      <c r="I89" s="998" t="s">
        <v>499</v>
      </c>
      <c r="J89" s="924">
        <f>1240.6-265.8</f>
        <v>974.8</v>
      </c>
      <c r="K89" s="996" t="s">
        <v>663</v>
      </c>
      <c r="L89" s="931">
        <v>1105.0999999999999</v>
      </c>
      <c r="M89" s="1006" t="s">
        <v>692</v>
      </c>
      <c r="N89" s="1072">
        <v>1262.9000000000001</v>
      </c>
      <c r="O89" s="997"/>
      <c r="P89" s="929" t="s">
        <v>64</v>
      </c>
      <c r="Q89" s="919" t="s">
        <v>64</v>
      </c>
      <c r="R89" s="922">
        <f>247.9-222.7</f>
        <v>25.200000000000017</v>
      </c>
      <c r="S89" s="1073"/>
      <c r="T89" s="1079" t="s">
        <v>216</v>
      </c>
      <c r="U89" s="924">
        <v>0</v>
      </c>
      <c r="V89" s="1006" t="s">
        <v>288</v>
      </c>
      <c r="W89" s="996"/>
      <c r="X89" s="922">
        <v>362.9</v>
      </c>
      <c r="Y89" s="998"/>
      <c r="Z89" s="997"/>
      <c r="AA89" s="924">
        <f>328.6-AE72</f>
        <v>12.5</v>
      </c>
      <c r="AB89" s="931"/>
      <c r="AC89" s="931"/>
      <c r="AD89" s="1006"/>
      <c r="AE89" s="996" t="s">
        <v>437</v>
      </c>
      <c r="AF89" s="932" t="s">
        <v>64</v>
      </c>
      <c r="AG89" s="882"/>
    </row>
    <row r="90" spans="1:33" hidden="1" x14ac:dyDescent="0.25">
      <c r="A90" s="919" t="s">
        <v>66</v>
      </c>
      <c r="B90" s="924">
        <v>1068.4000000000001</v>
      </c>
      <c r="C90" s="996"/>
      <c r="D90" s="922">
        <v>970.7</v>
      </c>
      <c r="E90" s="998"/>
      <c r="F90" s="931">
        <f>1217.1-G73</f>
        <v>984.3</v>
      </c>
      <c r="G90" s="996" t="s">
        <v>440</v>
      </c>
      <c r="H90" s="930">
        <f>908.8-I73</f>
        <v>721</v>
      </c>
      <c r="I90" s="998" t="s">
        <v>575</v>
      </c>
      <c r="J90" s="924">
        <f>973.4-191.3</f>
        <v>782.09999999999991</v>
      </c>
      <c r="K90" s="996" t="s">
        <v>664</v>
      </c>
      <c r="L90" s="931">
        <v>980.9</v>
      </c>
      <c r="M90" s="1006" t="s">
        <v>696</v>
      </c>
      <c r="N90" s="1072">
        <v>1079.5</v>
      </c>
      <c r="O90" s="997"/>
      <c r="P90" s="929" t="s">
        <v>66</v>
      </c>
      <c r="Q90" s="919" t="s">
        <v>66</v>
      </c>
      <c r="R90" s="1082">
        <f>226.4-274.5</f>
        <v>-48.099999999999994</v>
      </c>
      <c r="S90" s="1073"/>
      <c r="T90" s="1079" t="s">
        <v>215</v>
      </c>
      <c r="U90" s="924">
        <v>146.6</v>
      </c>
      <c r="V90" s="1006" t="s">
        <v>348</v>
      </c>
      <c r="W90" s="996"/>
      <c r="X90" s="922">
        <v>251.9</v>
      </c>
      <c r="Y90" s="998"/>
      <c r="Z90" s="997"/>
      <c r="AA90" s="924">
        <f>299.1-AE73</f>
        <v>17</v>
      </c>
      <c r="AB90" s="931"/>
      <c r="AC90" s="931"/>
      <c r="AD90" s="1006"/>
      <c r="AE90" s="996" t="s">
        <v>441</v>
      </c>
      <c r="AF90" s="932" t="s">
        <v>66</v>
      </c>
      <c r="AG90" s="882"/>
    </row>
    <row r="91" spans="1:33" hidden="1" x14ac:dyDescent="0.25">
      <c r="A91" s="919" t="s">
        <v>56</v>
      </c>
      <c r="B91" s="924">
        <v>567.1</v>
      </c>
      <c r="C91" s="996"/>
      <c r="D91" s="922">
        <v>685.1</v>
      </c>
      <c r="E91" s="998"/>
      <c r="F91" s="931">
        <f>850.9-G74</f>
        <v>686.7</v>
      </c>
      <c r="G91" s="996" t="s">
        <v>445</v>
      </c>
      <c r="H91" s="930">
        <f>742.2-I74</f>
        <v>595.5</v>
      </c>
      <c r="I91" s="998" t="s">
        <v>574</v>
      </c>
      <c r="J91" s="924">
        <f>874.4-159.3</f>
        <v>715.09999999999991</v>
      </c>
      <c r="K91" s="996" t="s">
        <v>665</v>
      </c>
      <c r="L91" s="931">
        <v>932.00000000000011</v>
      </c>
      <c r="M91" s="1006" t="s">
        <v>699</v>
      </c>
      <c r="N91" s="1072">
        <v>888.3</v>
      </c>
      <c r="O91" s="997"/>
      <c r="P91" s="929" t="s">
        <v>56</v>
      </c>
      <c r="Q91" s="919" t="s">
        <v>56</v>
      </c>
      <c r="R91" s="922">
        <f>174.3-147.6</f>
        <v>26.700000000000017</v>
      </c>
      <c r="S91" s="1073"/>
      <c r="T91" s="1079" t="s">
        <v>206</v>
      </c>
      <c r="U91" s="924">
        <f>58-125.6</f>
        <v>-67.599999999999994</v>
      </c>
      <c r="V91" s="1006" t="s">
        <v>349</v>
      </c>
      <c r="W91" s="996"/>
      <c r="X91" s="922">
        <v>160.19999999999999</v>
      </c>
      <c r="Y91" s="998"/>
      <c r="Z91" s="997"/>
      <c r="AA91" s="924">
        <f>207.9-AE74</f>
        <v>39.900000000000006</v>
      </c>
      <c r="AB91" s="931"/>
      <c r="AC91" s="931"/>
      <c r="AD91" s="1006"/>
      <c r="AE91" s="996" t="s">
        <v>446</v>
      </c>
      <c r="AF91" s="932" t="s">
        <v>56</v>
      </c>
      <c r="AG91" s="882"/>
    </row>
    <row r="92" spans="1:33" hidden="1" x14ac:dyDescent="0.25">
      <c r="A92" s="933" t="s">
        <v>59</v>
      </c>
      <c r="B92" s="934">
        <v>467.9</v>
      </c>
      <c r="C92" s="935"/>
      <c r="D92" s="936">
        <v>489.1</v>
      </c>
      <c r="E92" s="940"/>
      <c r="F92" s="938">
        <f>799.9-G75</f>
        <v>674.69999999999993</v>
      </c>
      <c r="G92" s="1001" t="s">
        <v>451</v>
      </c>
      <c r="H92" s="940">
        <f>724.5-142.8</f>
        <v>581.70000000000005</v>
      </c>
      <c r="I92" s="1003" t="s">
        <v>579</v>
      </c>
      <c r="J92" s="934">
        <f>831.7-162</f>
        <v>669.7</v>
      </c>
      <c r="K92" s="1001" t="s">
        <v>666</v>
      </c>
      <c r="L92" s="938">
        <v>736.40000000000009</v>
      </c>
      <c r="M92" s="1009" t="s">
        <v>707</v>
      </c>
      <c r="N92" s="968">
        <v>583.6</v>
      </c>
      <c r="O92" s="1002"/>
      <c r="P92" s="939" t="s">
        <v>59</v>
      </c>
      <c r="Q92" s="933" t="s">
        <v>59</v>
      </c>
      <c r="R92" s="936">
        <f>228-224.2</f>
        <v>3.8000000000000114</v>
      </c>
      <c r="S92" s="1080"/>
      <c r="T92" s="1081" t="s">
        <v>235</v>
      </c>
      <c r="U92" s="934">
        <v>41.2</v>
      </c>
      <c r="V92" s="1009" t="s">
        <v>350</v>
      </c>
      <c r="W92" s="1001"/>
      <c r="X92" s="936">
        <v>52.8</v>
      </c>
      <c r="Y92" s="1003"/>
      <c r="Z92" s="1002"/>
      <c r="AA92" s="934">
        <f>155.5-AE75</f>
        <v>56.599999999999994</v>
      </c>
      <c r="AB92" s="938"/>
      <c r="AC92" s="938"/>
      <c r="AD92" s="1009"/>
      <c r="AE92" s="1001" t="s">
        <v>452</v>
      </c>
      <c r="AF92" s="941" t="s">
        <v>59</v>
      </c>
      <c r="AG92" s="882"/>
    </row>
    <row r="93" spans="1:33" hidden="1" x14ac:dyDescent="0.25">
      <c r="A93" s="1010"/>
      <c r="B93" s="1083">
        <f>SUM(B81:B92)</f>
        <v>8985.7000000000007</v>
      </c>
      <c r="C93" s="1084"/>
      <c r="D93" s="1083">
        <f>SUM(D81:D92)</f>
        <v>11193.800000000001</v>
      </c>
      <c r="E93" s="1085"/>
      <c r="F93" s="1085">
        <f>SUM(F81:F92)</f>
        <v>10383.100000000002</v>
      </c>
      <c r="G93" s="1084"/>
      <c r="H93" s="1086">
        <f>SUM(H81:H92)</f>
        <v>10866</v>
      </c>
      <c r="I93" s="1087"/>
      <c r="J93" s="1083">
        <f>SUM(J81:J92)</f>
        <v>9279.0000000000018</v>
      </c>
      <c r="K93" s="1084"/>
      <c r="L93" s="1085">
        <f>SUM(L81:L92)</f>
        <v>10059.5</v>
      </c>
      <c r="M93" s="1085"/>
      <c r="N93" s="1088">
        <f>SUM(N81:N92)</f>
        <v>11767.6</v>
      </c>
      <c r="O93" s="1087"/>
      <c r="P93" s="1014"/>
      <c r="Q93" s="1010"/>
      <c r="R93" s="1011">
        <f>SUM(R81:R92)</f>
        <v>166.10000000000014</v>
      </c>
      <c r="S93" s="1089"/>
      <c r="T93" s="1090"/>
      <c r="U93" s="1016">
        <f>SUM(U81:U92)</f>
        <v>120.8</v>
      </c>
      <c r="V93" s="1017"/>
      <c r="W93" s="1044"/>
      <c r="X93" s="1016">
        <f>SUM(X81:X92)</f>
        <v>968.19999999999982</v>
      </c>
      <c r="Y93" s="1017"/>
      <c r="Z93" s="1044"/>
      <c r="AA93" s="1016">
        <f>SUM(AA81:AA92)</f>
        <v>174.09999999999997</v>
      </c>
      <c r="AB93" s="1017"/>
      <c r="AC93" s="1017"/>
      <c r="AD93" s="1017"/>
      <c r="AE93" s="1044"/>
      <c r="AF93" s="1020"/>
      <c r="AG93" s="882"/>
    </row>
    <row r="94" spans="1:33" ht="18" hidden="1" x14ac:dyDescent="0.25">
      <c r="A94" s="1021" t="s">
        <v>4</v>
      </c>
      <c r="B94" s="1022"/>
      <c r="C94" s="1022"/>
      <c r="D94" s="1022"/>
      <c r="E94" s="1022"/>
      <c r="F94" s="1022"/>
      <c r="G94" s="1022"/>
      <c r="H94" s="1022"/>
      <c r="I94" s="1022"/>
      <c r="J94" s="1022"/>
      <c r="K94" s="1022"/>
      <c r="L94" s="1022"/>
      <c r="M94" s="1022"/>
      <c r="N94" s="1022"/>
      <c r="O94" s="1022"/>
      <c r="P94" s="1023" t="s">
        <v>4</v>
      </c>
      <c r="Q94" s="1024" t="s">
        <v>4</v>
      </c>
      <c r="S94" s="893"/>
      <c r="T94" s="1091"/>
      <c r="U94" s="1091"/>
      <c r="W94" s="1091"/>
      <c r="X94" s="1026"/>
      <c r="AA94" s="1091"/>
      <c r="AB94" s="1091"/>
      <c r="AC94" s="1091"/>
      <c r="AD94" s="1091"/>
      <c r="AE94" s="1091"/>
      <c r="AF94" s="1027" t="s">
        <v>4</v>
      </c>
      <c r="AG94" s="882"/>
    </row>
    <row r="95" spans="1:33" ht="18" hidden="1" x14ac:dyDescent="0.25">
      <c r="A95" s="1021"/>
      <c r="B95" s="1022"/>
      <c r="C95" s="1022"/>
      <c r="D95" s="1022"/>
      <c r="E95" s="1022"/>
      <c r="F95" s="1022"/>
      <c r="G95" s="1022"/>
      <c r="H95" s="1022"/>
      <c r="I95" s="1022"/>
      <c r="J95" s="1022"/>
      <c r="K95" s="1022"/>
      <c r="L95" s="1022"/>
      <c r="M95" s="1022"/>
      <c r="N95" s="1022"/>
      <c r="O95" s="1022"/>
      <c r="P95" s="1023">
        <v>61.8</v>
      </c>
      <c r="Q95" s="1024"/>
      <c r="S95" s="893"/>
      <c r="T95" s="1091"/>
      <c r="U95" s="1091"/>
      <c r="W95" s="1091"/>
      <c r="X95" s="1026"/>
      <c r="AA95" s="1091"/>
      <c r="AB95" s="1091"/>
      <c r="AC95" s="1091"/>
      <c r="AD95" s="1091"/>
      <c r="AE95" s="1091"/>
      <c r="AF95" s="1027"/>
      <c r="AG95" s="882"/>
    </row>
    <row r="96" spans="1:33" hidden="1" x14ac:dyDescent="0.25">
      <c r="A96" s="1028"/>
      <c r="B96" s="898" t="s">
        <v>30</v>
      </c>
      <c r="C96" s="898"/>
      <c r="D96" s="898" t="s">
        <v>30</v>
      </c>
      <c r="E96" s="898"/>
      <c r="F96" s="898" t="s">
        <v>30</v>
      </c>
      <c r="G96" s="898"/>
      <c r="H96" s="898" t="s">
        <v>30</v>
      </c>
      <c r="I96" s="898"/>
      <c r="J96" s="898" t="s">
        <v>30</v>
      </c>
      <c r="K96" s="898"/>
      <c r="L96" s="1092" t="s">
        <v>30</v>
      </c>
      <c r="M96" s="898"/>
      <c r="N96" s="1092" t="s">
        <v>30</v>
      </c>
      <c r="O96" s="1216"/>
      <c r="P96" s="974"/>
      <c r="Q96" s="879"/>
      <c r="R96" s="976" t="s">
        <v>30</v>
      </c>
      <c r="S96" s="1216"/>
      <c r="T96" s="1216"/>
      <c r="U96" s="898" t="s">
        <v>30</v>
      </c>
      <c r="V96" s="1216"/>
      <c r="W96" s="1216"/>
      <c r="X96" s="976" t="s">
        <v>30</v>
      </c>
      <c r="Y96" s="1216"/>
      <c r="Z96" s="1216"/>
      <c r="AA96" s="898" t="s">
        <v>30</v>
      </c>
      <c r="AB96" s="898"/>
      <c r="AC96" s="898"/>
      <c r="AD96" s="1216"/>
      <c r="AE96" s="1216"/>
      <c r="AF96" s="1025"/>
      <c r="AG96" s="882"/>
    </row>
    <row r="97" spans="1:33" hidden="1" x14ac:dyDescent="0.25">
      <c r="A97" s="1029"/>
      <c r="B97" s="1674">
        <v>2001</v>
      </c>
      <c r="C97" s="1675"/>
      <c r="D97" s="1674">
        <v>2002</v>
      </c>
      <c r="E97" s="1676"/>
      <c r="F97" s="1677">
        <v>2003</v>
      </c>
      <c r="G97" s="1678"/>
      <c r="H97" s="1679">
        <v>2004</v>
      </c>
      <c r="I97" s="1678"/>
      <c r="J97" s="1679">
        <v>2005</v>
      </c>
      <c r="K97" s="1677"/>
      <c r="L97" s="1677">
        <v>2006</v>
      </c>
      <c r="M97" s="1678"/>
      <c r="N97" s="1674">
        <v>2007</v>
      </c>
      <c r="O97" s="1675"/>
      <c r="P97" s="911"/>
      <c r="Q97" s="983"/>
      <c r="R97" s="1667">
        <v>2000</v>
      </c>
      <c r="S97" s="1668"/>
      <c r="T97" s="1669"/>
      <c r="U97" s="1670">
        <v>2001</v>
      </c>
      <c r="V97" s="1670"/>
      <c r="W97" s="1671"/>
      <c r="X97" s="1671" t="s">
        <v>313</v>
      </c>
      <c r="Y97" s="1672"/>
      <c r="Z97" s="1673"/>
      <c r="AA97" s="1671" t="s">
        <v>395</v>
      </c>
      <c r="AB97" s="1672"/>
      <c r="AC97" s="1672"/>
      <c r="AD97" s="1672"/>
      <c r="AE97" s="1673"/>
      <c r="AF97" s="987"/>
      <c r="AG97" s="882"/>
    </row>
    <row r="98" spans="1:33" hidden="1" x14ac:dyDescent="0.25">
      <c r="A98" s="919" t="s">
        <v>54</v>
      </c>
      <c r="B98" s="924">
        <f t="shared" ref="B98:D109" si="15">B64+C64+B81</f>
        <v>531</v>
      </c>
      <c r="C98" s="925"/>
      <c r="D98" s="927">
        <f t="shared" si="15"/>
        <v>640.6</v>
      </c>
      <c r="E98" s="1032"/>
      <c r="F98" s="926">
        <f t="shared" ref="F98:F103" si="16">F64+F81</f>
        <v>816.5</v>
      </c>
      <c r="G98" s="921"/>
      <c r="H98" s="927">
        <f t="shared" ref="H98:H109" si="17">H64+I64+H81</f>
        <v>694.2</v>
      </c>
      <c r="I98" s="1032"/>
      <c r="J98" s="920">
        <f t="shared" ref="J98:J109" si="18">J64+K64+J81</f>
        <v>491.40000000000003</v>
      </c>
      <c r="K98" s="926"/>
      <c r="L98" s="931">
        <v>712.5</v>
      </c>
      <c r="M98" s="931"/>
      <c r="N98" s="922">
        <v>1064</v>
      </c>
      <c r="O98" s="923"/>
      <c r="P98" s="929" t="s">
        <v>54</v>
      </c>
      <c r="Q98" s="919" t="s">
        <v>54</v>
      </c>
      <c r="R98" s="922">
        <f>R64+S64+R81</f>
        <v>156.07000000000002</v>
      </c>
      <c r="S98" s="930"/>
      <c r="T98" s="923"/>
      <c r="U98" s="920">
        <f>U64+U81+V64</f>
        <v>87.5</v>
      </c>
      <c r="V98" s="926"/>
      <c r="W98" s="921"/>
      <c r="X98" s="927">
        <f t="shared" ref="X98:X109" si="19">X64+Y64+X81</f>
        <v>126.69999999999999</v>
      </c>
      <c r="Y98" s="1032"/>
      <c r="Z98" s="928"/>
      <c r="AA98" s="920">
        <f t="shared" ref="AA98:AA103" si="20">AA64+AD64+AA81</f>
        <v>188.89999999999998</v>
      </c>
      <c r="AB98" s="926"/>
      <c r="AC98" s="926"/>
      <c r="AD98" s="926"/>
      <c r="AE98" s="921"/>
      <c r="AF98" s="932" t="s">
        <v>54</v>
      </c>
      <c r="AG98" s="882"/>
    </row>
    <row r="99" spans="1:33" hidden="1" x14ac:dyDescent="0.25">
      <c r="A99" s="919" t="s">
        <v>55</v>
      </c>
      <c r="B99" s="924">
        <f t="shared" si="15"/>
        <v>375.3</v>
      </c>
      <c r="C99" s="925"/>
      <c r="D99" s="922">
        <f t="shared" si="15"/>
        <v>824.6</v>
      </c>
      <c r="E99" s="930"/>
      <c r="F99" s="931">
        <f t="shared" si="16"/>
        <v>599.79999999999995</v>
      </c>
      <c r="G99" s="925"/>
      <c r="H99" s="922">
        <f t="shared" si="17"/>
        <v>610.79999999999995</v>
      </c>
      <c r="I99" s="930"/>
      <c r="J99" s="924">
        <f t="shared" si="18"/>
        <v>493.70000000000005</v>
      </c>
      <c r="K99" s="931"/>
      <c r="L99" s="931">
        <v>824.5</v>
      </c>
      <c r="M99" s="931"/>
      <c r="N99" s="922">
        <v>553.1</v>
      </c>
      <c r="O99" s="923"/>
      <c r="P99" s="929" t="s">
        <v>55</v>
      </c>
      <c r="Q99" s="919" t="s">
        <v>55</v>
      </c>
      <c r="R99" s="922">
        <f>R65+S65+R82</f>
        <v>48.38</v>
      </c>
      <c r="S99" s="930"/>
      <c r="T99" s="923"/>
      <c r="U99" s="924">
        <f>U65+U82+V65</f>
        <v>58.9</v>
      </c>
      <c r="V99" s="931"/>
      <c r="W99" s="925"/>
      <c r="X99" s="922">
        <f t="shared" si="19"/>
        <v>170.4</v>
      </c>
      <c r="Y99" s="930"/>
      <c r="Z99" s="923"/>
      <c r="AA99" s="924">
        <f t="shared" si="20"/>
        <v>114.7</v>
      </c>
      <c r="AB99" s="931"/>
      <c r="AC99" s="931"/>
      <c r="AD99" s="931"/>
      <c r="AE99" s="925"/>
      <c r="AF99" s="932" t="s">
        <v>55</v>
      </c>
      <c r="AG99" s="882"/>
    </row>
    <row r="100" spans="1:33" hidden="1" x14ac:dyDescent="0.25">
      <c r="A100" s="919" t="s">
        <v>58</v>
      </c>
      <c r="B100" s="924">
        <f t="shared" si="15"/>
        <v>446.4</v>
      </c>
      <c r="C100" s="925"/>
      <c r="D100" s="922">
        <f t="shared" si="15"/>
        <v>1041.2</v>
      </c>
      <c r="E100" s="930"/>
      <c r="F100" s="931">
        <f t="shared" si="16"/>
        <v>633.6</v>
      </c>
      <c r="G100" s="925"/>
      <c r="H100" s="922">
        <f t="shared" si="17"/>
        <v>890.2</v>
      </c>
      <c r="I100" s="930"/>
      <c r="J100" s="924">
        <f t="shared" si="18"/>
        <v>579.6</v>
      </c>
      <c r="K100" s="931"/>
      <c r="L100" s="931">
        <v>496</v>
      </c>
      <c r="M100" s="931"/>
      <c r="N100" s="922">
        <v>774.2</v>
      </c>
      <c r="O100" s="923"/>
      <c r="P100" s="929" t="s">
        <v>58</v>
      </c>
      <c r="Q100" s="919" t="s">
        <v>58</v>
      </c>
      <c r="R100" s="922">
        <f>R66+S66+R83</f>
        <v>89.61</v>
      </c>
      <c r="S100" s="930"/>
      <c r="T100" s="923"/>
      <c r="U100" s="924">
        <f>U66+U83+V66</f>
        <v>69.3</v>
      </c>
      <c r="V100" s="931"/>
      <c r="W100" s="925"/>
      <c r="X100" s="922">
        <f t="shared" si="19"/>
        <v>280.09999999999997</v>
      </c>
      <c r="Y100" s="930"/>
      <c r="Z100" s="923"/>
      <c r="AA100" s="924">
        <f t="shared" si="20"/>
        <v>96.899999999999991</v>
      </c>
      <c r="AB100" s="931"/>
      <c r="AC100" s="931"/>
      <c r="AD100" s="931"/>
      <c r="AE100" s="925"/>
      <c r="AF100" s="932" t="s">
        <v>58</v>
      </c>
      <c r="AG100" s="882"/>
    </row>
    <row r="101" spans="1:33" hidden="1" x14ac:dyDescent="0.25">
      <c r="A101" s="919" t="s">
        <v>61</v>
      </c>
      <c r="B101" s="924">
        <f t="shared" si="15"/>
        <v>647.90000000000009</v>
      </c>
      <c r="C101" s="925"/>
      <c r="D101" s="922">
        <f t="shared" si="15"/>
        <v>1061.5</v>
      </c>
      <c r="E101" s="930"/>
      <c r="F101" s="931">
        <f t="shared" si="16"/>
        <v>838.80000000000007</v>
      </c>
      <c r="G101" s="925"/>
      <c r="H101" s="922">
        <f t="shared" si="17"/>
        <v>1165.5</v>
      </c>
      <c r="I101" s="930"/>
      <c r="J101" s="924">
        <f t="shared" si="18"/>
        <v>999.80000000000007</v>
      </c>
      <c r="K101" s="931"/>
      <c r="L101" s="931">
        <v>555.40000000000009</v>
      </c>
      <c r="M101" s="931"/>
      <c r="N101" s="922">
        <v>1029</v>
      </c>
      <c r="O101" s="923"/>
      <c r="P101" s="929" t="s">
        <v>61</v>
      </c>
      <c r="Q101" s="919" t="s">
        <v>61</v>
      </c>
      <c r="R101" s="922">
        <f t="shared" ref="R101:R109" si="21">R67+S67+T67+R84</f>
        <v>202.92000000000002</v>
      </c>
      <c r="S101" s="930"/>
      <c r="T101" s="923"/>
      <c r="U101" s="924">
        <f t="shared" ref="U101:U109" si="22">U67+U84+V67+W67</f>
        <v>126.69999999999999</v>
      </c>
      <c r="V101" s="931"/>
      <c r="W101" s="925"/>
      <c r="X101" s="922">
        <f t="shared" si="19"/>
        <v>268.39999999999998</v>
      </c>
      <c r="Y101" s="930"/>
      <c r="Z101" s="923"/>
      <c r="AA101" s="924">
        <f t="shared" si="20"/>
        <v>175.20000000000002</v>
      </c>
      <c r="AB101" s="931"/>
      <c r="AC101" s="931"/>
      <c r="AD101" s="931"/>
      <c r="AE101" s="925"/>
      <c r="AF101" s="932" t="s">
        <v>61</v>
      </c>
      <c r="AG101" s="882"/>
    </row>
    <row r="102" spans="1:33" hidden="1" x14ac:dyDescent="0.25">
      <c r="A102" s="919" t="s">
        <v>63</v>
      </c>
      <c r="B102" s="924">
        <f t="shared" si="15"/>
        <v>1026.4000000000001</v>
      </c>
      <c r="C102" s="925"/>
      <c r="D102" s="922">
        <f t="shared" si="15"/>
        <v>1247</v>
      </c>
      <c r="E102" s="930"/>
      <c r="F102" s="931">
        <f t="shared" si="16"/>
        <v>1025</v>
      </c>
      <c r="G102" s="925"/>
      <c r="H102" s="922">
        <f t="shared" si="17"/>
        <v>1494.6</v>
      </c>
      <c r="I102" s="930"/>
      <c r="J102" s="924">
        <f t="shared" si="18"/>
        <v>1158.3999999999999</v>
      </c>
      <c r="K102" s="931"/>
      <c r="L102" s="931">
        <v>885.69999999999993</v>
      </c>
      <c r="M102" s="931"/>
      <c r="N102" s="922">
        <v>1313</v>
      </c>
      <c r="O102" s="923"/>
      <c r="P102" s="929" t="s">
        <v>63</v>
      </c>
      <c r="Q102" s="919" t="s">
        <v>63</v>
      </c>
      <c r="R102" s="922">
        <f t="shared" si="21"/>
        <v>272.52</v>
      </c>
      <c r="S102" s="930"/>
      <c r="T102" s="923"/>
      <c r="U102" s="924">
        <f t="shared" si="22"/>
        <v>247.20000000000002</v>
      </c>
      <c r="V102" s="931"/>
      <c r="W102" s="925"/>
      <c r="X102" s="922">
        <f t="shared" si="19"/>
        <v>315.3</v>
      </c>
      <c r="Y102" s="930"/>
      <c r="Z102" s="923"/>
      <c r="AA102" s="924">
        <f t="shared" si="20"/>
        <v>186.70000000000002</v>
      </c>
      <c r="AB102" s="931"/>
      <c r="AC102" s="931"/>
      <c r="AD102" s="931"/>
      <c r="AE102" s="925"/>
      <c r="AF102" s="932" t="s">
        <v>63</v>
      </c>
      <c r="AG102" s="882"/>
    </row>
    <row r="103" spans="1:33" hidden="1" x14ac:dyDescent="0.25">
      <c r="A103" s="933" t="s">
        <v>65</v>
      </c>
      <c r="B103" s="934">
        <f t="shared" si="15"/>
        <v>1192.5</v>
      </c>
      <c r="C103" s="935"/>
      <c r="D103" s="936">
        <f t="shared" si="15"/>
        <v>1303.3999999999999</v>
      </c>
      <c r="E103" s="940"/>
      <c r="F103" s="938">
        <f t="shared" si="16"/>
        <v>1150.9000000000001</v>
      </c>
      <c r="G103" s="935"/>
      <c r="H103" s="936">
        <f t="shared" si="17"/>
        <v>1370.6</v>
      </c>
      <c r="I103" s="940"/>
      <c r="J103" s="934">
        <f t="shared" si="18"/>
        <v>1255.8</v>
      </c>
      <c r="K103" s="938"/>
      <c r="L103" s="931">
        <v>1292.8</v>
      </c>
      <c r="M103" s="931"/>
      <c r="N103" s="922">
        <v>1345.6</v>
      </c>
      <c r="O103" s="923"/>
      <c r="P103" s="939" t="s">
        <v>65</v>
      </c>
      <c r="Q103" s="933" t="s">
        <v>65</v>
      </c>
      <c r="R103" s="936">
        <f t="shared" si="21"/>
        <v>312.89000000000004</v>
      </c>
      <c r="S103" s="940"/>
      <c r="T103" s="937"/>
      <c r="U103" s="934">
        <f t="shared" si="22"/>
        <v>273.10000000000002</v>
      </c>
      <c r="V103" s="938"/>
      <c r="W103" s="935"/>
      <c r="X103" s="936">
        <f t="shared" si="19"/>
        <v>356.40000000000003</v>
      </c>
      <c r="Y103" s="940"/>
      <c r="Z103" s="937"/>
      <c r="AA103" s="934">
        <f t="shared" si="20"/>
        <v>253.8</v>
      </c>
      <c r="AB103" s="938"/>
      <c r="AC103" s="938"/>
      <c r="AD103" s="938"/>
      <c r="AE103" s="935"/>
      <c r="AF103" s="941" t="s">
        <v>65</v>
      </c>
      <c r="AG103" s="882"/>
    </row>
    <row r="104" spans="1:33" hidden="1" x14ac:dyDescent="0.25">
      <c r="A104" s="919" t="s">
        <v>67</v>
      </c>
      <c r="B104" s="924">
        <f t="shared" si="15"/>
        <v>1429.1999999999998</v>
      </c>
      <c r="C104" s="925"/>
      <c r="D104" s="922">
        <f t="shared" si="15"/>
        <v>1442.7</v>
      </c>
      <c r="E104" s="930"/>
      <c r="F104" s="931">
        <f t="shared" ref="F104:F109" si="23">F70+G70+F87</f>
        <v>1580</v>
      </c>
      <c r="G104" s="925"/>
      <c r="H104" s="922">
        <f t="shared" si="17"/>
        <v>1520.1999999999998</v>
      </c>
      <c r="I104" s="930"/>
      <c r="J104" s="924">
        <f t="shared" si="18"/>
        <v>1426.1</v>
      </c>
      <c r="K104" s="931"/>
      <c r="L104" s="931">
        <v>1582.7</v>
      </c>
      <c r="M104" s="931"/>
      <c r="N104" s="927">
        <v>1559.2</v>
      </c>
      <c r="O104" s="928"/>
      <c r="P104" s="929" t="s">
        <v>67</v>
      </c>
      <c r="Q104" s="919" t="s">
        <v>67</v>
      </c>
      <c r="R104" s="922">
        <f t="shared" si="21"/>
        <v>344.19</v>
      </c>
      <c r="S104" s="930"/>
      <c r="T104" s="923"/>
      <c r="U104" s="924">
        <f t="shared" si="22"/>
        <v>341.9</v>
      </c>
      <c r="V104" s="931"/>
      <c r="W104" s="925"/>
      <c r="X104" s="922">
        <f t="shared" si="19"/>
        <v>338.7</v>
      </c>
      <c r="Y104" s="930"/>
      <c r="Z104" s="923"/>
      <c r="AA104" s="924">
        <f t="shared" ref="AA104:AA109" si="24">AA70+AD70+AA87+AE70</f>
        <v>355</v>
      </c>
      <c r="AB104" s="931"/>
      <c r="AC104" s="931"/>
      <c r="AD104" s="931"/>
      <c r="AE104" s="925"/>
      <c r="AF104" s="932" t="s">
        <v>67</v>
      </c>
      <c r="AG104" s="882"/>
    </row>
    <row r="105" spans="1:33" hidden="1" x14ac:dyDescent="0.25">
      <c r="A105" s="919" t="s">
        <v>62</v>
      </c>
      <c r="B105" s="924">
        <f t="shared" si="15"/>
        <v>1371.5</v>
      </c>
      <c r="C105" s="925"/>
      <c r="D105" s="922">
        <f t="shared" si="15"/>
        <v>1375.3</v>
      </c>
      <c r="E105" s="930"/>
      <c r="F105" s="931">
        <f t="shared" si="23"/>
        <v>1587.8</v>
      </c>
      <c r="G105" s="925"/>
      <c r="H105" s="922">
        <f t="shared" si="17"/>
        <v>1569</v>
      </c>
      <c r="I105" s="930"/>
      <c r="J105" s="924">
        <f t="shared" si="18"/>
        <v>1410.3000000000002</v>
      </c>
      <c r="K105" s="931"/>
      <c r="L105" s="931">
        <v>1446.4</v>
      </c>
      <c r="M105" s="931"/>
      <c r="N105" s="922">
        <v>1509.7</v>
      </c>
      <c r="O105" s="923"/>
      <c r="P105" s="929" t="s">
        <v>62</v>
      </c>
      <c r="Q105" s="919" t="s">
        <v>62</v>
      </c>
      <c r="R105" s="922">
        <f t="shared" si="21"/>
        <v>339.31</v>
      </c>
      <c r="S105" s="930"/>
      <c r="T105" s="923"/>
      <c r="U105" s="924">
        <f t="shared" si="22"/>
        <v>403.2</v>
      </c>
      <c r="V105" s="931"/>
      <c r="W105" s="925"/>
      <c r="X105" s="922">
        <f>X71+Y71+X88</f>
        <v>362.70000000000005</v>
      </c>
      <c r="Y105" s="930"/>
      <c r="Z105" s="923"/>
      <c r="AA105" s="924">
        <f t="shared" si="24"/>
        <v>372.29999999999995</v>
      </c>
      <c r="AB105" s="931"/>
      <c r="AC105" s="931"/>
      <c r="AD105" s="931"/>
      <c r="AE105" s="925"/>
      <c r="AF105" s="932" t="s">
        <v>62</v>
      </c>
      <c r="AG105" s="882"/>
    </row>
    <row r="106" spans="1:33" hidden="1" x14ac:dyDescent="0.25">
      <c r="A106" s="919" t="s">
        <v>64</v>
      </c>
      <c r="B106" s="924">
        <f t="shared" si="15"/>
        <v>1360.9</v>
      </c>
      <c r="C106" s="925"/>
      <c r="D106" s="922">
        <f t="shared" si="15"/>
        <v>1395.5</v>
      </c>
      <c r="E106" s="930"/>
      <c r="F106" s="931">
        <f t="shared" si="23"/>
        <v>1369.9999999999998</v>
      </c>
      <c r="G106" s="925"/>
      <c r="H106" s="922">
        <f t="shared" si="17"/>
        <v>1484.2</v>
      </c>
      <c r="I106" s="930"/>
      <c r="J106" s="924">
        <f t="shared" si="18"/>
        <v>1284.3</v>
      </c>
      <c r="K106" s="931"/>
      <c r="L106" s="931">
        <v>1317.3</v>
      </c>
      <c r="M106" s="931"/>
      <c r="N106" s="922">
        <v>1331.6</v>
      </c>
      <c r="O106" s="923"/>
      <c r="P106" s="929" t="s">
        <v>64</v>
      </c>
      <c r="Q106" s="919" t="s">
        <v>64</v>
      </c>
      <c r="R106" s="922">
        <f t="shared" si="21"/>
        <v>272.98</v>
      </c>
      <c r="S106" s="930"/>
      <c r="T106" s="923"/>
      <c r="U106" s="924">
        <f t="shared" si="22"/>
        <v>313.60000000000002</v>
      </c>
      <c r="V106" s="931"/>
      <c r="W106" s="925"/>
      <c r="X106" s="922">
        <f>X72+Y72+X89</f>
        <v>381.79999999999995</v>
      </c>
      <c r="Y106" s="930"/>
      <c r="Z106" s="923"/>
      <c r="AA106" s="924">
        <f t="shared" si="24"/>
        <v>353.1</v>
      </c>
      <c r="AB106" s="931"/>
      <c r="AC106" s="931"/>
      <c r="AD106" s="931"/>
      <c r="AE106" s="925"/>
      <c r="AF106" s="932" t="s">
        <v>64</v>
      </c>
      <c r="AG106" s="882"/>
    </row>
    <row r="107" spans="1:33" hidden="1" x14ac:dyDescent="0.25">
      <c r="A107" s="919" t="s">
        <v>66</v>
      </c>
      <c r="B107" s="924">
        <f t="shared" si="15"/>
        <v>1132.3000000000002</v>
      </c>
      <c r="C107" s="925"/>
      <c r="D107" s="922">
        <f t="shared" si="15"/>
        <v>1090</v>
      </c>
      <c r="E107" s="930"/>
      <c r="F107" s="931">
        <f t="shared" si="23"/>
        <v>1223.5</v>
      </c>
      <c r="G107" s="925"/>
      <c r="H107" s="922">
        <f t="shared" si="17"/>
        <v>908.8</v>
      </c>
      <c r="I107" s="930"/>
      <c r="J107" s="924">
        <f t="shared" si="18"/>
        <v>994.69999999999993</v>
      </c>
      <c r="K107" s="931"/>
      <c r="L107" s="931">
        <v>1193.0999999999999</v>
      </c>
      <c r="M107" s="931"/>
      <c r="N107" s="922">
        <v>1185.9000000000001</v>
      </c>
      <c r="O107" s="923"/>
      <c r="P107" s="929" t="s">
        <v>66</v>
      </c>
      <c r="Q107" s="919" t="s">
        <v>66</v>
      </c>
      <c r="R107" s="922">
        <f t="shared" si="21"/>
        <v>235.51000000000002</v>
      </c>
      <c r="S107" s="952"/>
      <c r="T107" s="945"/>
      <c r="U107" s="924">
        <f t="shared" si="22"/>
        <v>276.60000000000002</v>
      </c>
      <c r="V107" s="953"/>
      <c r="W107" s="947"/>
      <c r="X107" s="922">
        <f t="shared" si="19"/>
        <v>316.60000000000002</v>
      </c>
      <c r="Y107" s="952"/>
      <c r="Z107" s="945"/>
      <c r="AA107" s="924">
        <f t="shared" si="24"/>
        <v>315.10000000000002</v>
      </c>
      <c r="AB107" s="931"/>
      <c r="AC107" s="931"/>
      <c r="AD107" s="953"/>
      <c r="AE107" s="947"/>
      <c r="AF107" s="932" t="s">
        <v>66</v>
      </c>
      <c r="AG107" s="882"/>
    </row>
    <row r="108" spans="1:33" hidden="1" x14ac:dyDescent="0.25">
      <c r="A108" s="919" t="s">
        <v>56</v>
      </c>
      <c r="B108" s="924">
        <f t="shared" si="15"/>
        <v>603.4</v>
      </c>
      <c r="C108" s="925"/>
      <c r="D108" s="922">
        <f t="shared" si="15"/>
        <v>770.6</v>
      </c>
      <c r="E108" s="930"/>
      <c r="F108" s="931">
        <f t="shared" si="23"/>
        <v>851.40000000000009</v>
      </c>
      <c r="G108" s="925"/>
      <c r="H108" s="922">
        <f t="shared" si="17"/>
        <v>742.5</v>
      </c>
      <c r="I108" s="930"/>
      <c r="J108" s="924">
        <f t="shared" si="18"/>
        <v>895.89999999999986</v>
      </c>
      <c r="K108" s="931"/>
      <c r="L108" s="931">
        <v>1144.2</v>
      </c>
      <c r="M108" s="931"/>
      <c r="N108" s="922">
        <v>1014.7</v>
      </c>
      <c r="O108" s="923"/>
      <c r="P108" s="929" t="s">
        <v>56</v>
      </c>
      <c r="Q108" s="919" t="s">
        <v>56</v>
      </c>
      <c r="R108" s="922">
        <f t="shared" si="21"/>
        <v>178.36</v>
      </c>
      <c r="S108" s="1033"/>
      <c r="T108" s="1034"/>
      <c r="U108" s="924">
        <f t="shared" si="22"/>
        <v>102.5</v>
      </c>
      <c r="V108" s="1035"/>
      <c r="W108" s="1036"/>
      <c r="X108" s="922">
        <f t="shared" si="19"/>
        <v>160.19999999999999</v>
      </c>
      <c r="Y108" s="1033"/>
      <c r="Z108" s="1034"/>
      <c r="AA108" s="924">
        <f t="shared" si="24"/>
        <v>210.7</v>
      </c>
      <c r="AB108" s="931"/>
      <c r="AC108" s="931"/>
      <c r="AD108" s="1035"/>
      <c r="AE108" s="1036"/>
      <c r="AF108" s="932" t="s">
        <v>56</v>
      </c>
      <c r="AG108" s="882"/>
    </row>
    <row r="109" spans="1:33" hidden="1" x14ac:dyDescent="0.25">
      <c r="A109" s="933" t="s">
        <v>59</v>
      </c>
      <c r="B109" s="934">
        <f t="shared" si="15"/>
        <v>521.5</v>
      </c>
      <c r="C109" s="935"/>
      <c r="D109" s="936">
        <f t="shared" si="15"/>
        <v>539.80000000000007</v>
      </c>
      <c r="E109" s="940"/>
      <c r="F109" s="938">
        <f t="shared" si="23"/>
        <v>800.49999999999989</v>
      </c>
      <c r="G109" s="935"/>
      <c r="H109" s="936">
        <f t="shared" si="17"/>
        <v>724.5</v>
      </c>
      <c r="I109" s="940"/>
      <c r="J109" s="934">
        <f t="shared" si="18"/>
        <v>848.80000000000007</v>
      </c>
      <c r="K109" s="938"/>
      <c r="L109" s="938">
        <v>948.60000000000014</v>
      </c>
      <c r="M109" s="938"/>
      <c r="N109" s="936">
        <v>671.4</v>
      </c>
      <c r="O109" s="937"/>
      <c r="P109" s="939" t="s">
        <v>59</v>
      </c>
      <c r="Q109" s="933" t="s">
        <v>59</v>
      </c>
      <c r="R109" s="936">
        <f t="shared" si="21"/>
        <v>236.03</v>
      </c>
      <c r="S109" s="1037"/>
      <c r="T109" s="1038"/>
      <c r="U109" s="934">
        <f t="shared" si="22"/>
        <v>75.800000000000011</v>
      </c>
      <c r="V109" s="1039"/>
      <c r="W109" s="1040"/>
      <c r="X109" s="936">
        <f t="shared" si="19"/>
        <v>99.5</v>
      </c>
      <c r="Y109" s="1037"/>
      <c r="Z109" s="1038"/>
      <c r="AA109" s="934">
        <f t="shared" si="24"/>
        <v>173.9</v>
      </c>
      <c r="AB109" s="938"/>
      <c r="AC109" s="938"/>
      <c r="AD109" s="1039"/>
      <c r="AE109" s="1040"/>
      <c r="AF109" s="941" t="s">
        <v>59</v>
      </c>
      <c r="AG109" s="882"/>
    </row>
    <row r="110" spans="1:33" hidden="1" x14ac:dyDescent="0.25">
      <c r="A110" s="942"/>
      <c r="B110" s="1083">
        <f>SUM(B98:B109)</f>
        <v>10638.300000000001</v>
      </c>
      <c r="C110" s="1084"/>
      <c r="D110" s="1083">
        <f>SUM(D98:D109)</f>
        <v>12732.199999999999</v>
      </c>
      <c r="E110" s="1085"/>
      <c r="F110" s="1085">
        <f>SUM(F98:F109)</f>
        <v>12477.8</v>
      </c>
      <c r="G110" s="1084"/>
      <c r="H110" s="1083">
        <f>SUM(H98:H109)</f>
        <v>13175.099999999999</v>
      </c>
      <c r="I110" s="1085"/>
      <c r="J110" s="1083">
        <f>SUM(J98:J109)</f>
        <v>11838.800000000001</v>
      </c>
      <c r="K110" s="1085"/>
      <c r="L110" s="1085">
        <f>SUM(L98:L109)</f>
        <v>12399.2</v>
      </c>
      <c r="M110" s="1085"/>
      <c r="N110" s="1086">
        <f>SUM(N98:N109)</f>
        <v>13351.4</v>
      </c>
      <c r="O110" s="1087"/>
      <c r="P110" s="1084"/>
      <c r="Q110" s="946"/>
      <c r="R110" s="1011">
        <f>SUM(R98:R109)</f>
        <v>2688.7700000000004</v>
      </c>
      <c r="S110" s="1093"/>
      <c r="T110" s="1012"/>
      <c r="U110" s="1016">
        <f>SUM(U98:U109)</f>
        <v>2376.3000000000002</v>
      </c>
      <c r="V110" s="1017"/>
      <c r="W110" s="1044"/>
      <c r="X110" s="1016">
        <f>SUM(X98:X109)</f>
        <v>3176.7999999999997</v>
      </c>
      <c r="Y110" s="1017"/>
      <c r="Z110" s="1044"/>
      <c r="AA110" s="1016">
        <f>SUM(AA98:AA109)</f>
        <v>2796.2999999999997</v>
      </c>
      <c r="AB110" s="1017"/>
      <c r="AC110" s="1017"/>
      <c r="AD110" s="1017"/>
      <c r="AE110" s="1044"/>
      <c r="AF110" s="950"/>
      <c r="AG110" s="882"/>
    </row>
    <row r="111" spans="1:33" hidden="1" x14ac:dyDescent="0.25">
      <c r="A111" s="882"/>
      <c r="B111" s="887"/>
      <c r="C111" s="887"/>
      <c r="D111" s="887"/>
      <c r="E111" s="887"/>
      <c r="F111" s="887"/>
      <c r="G111" s="887"/>
      <c r="H111" s="887"/>
      <c r="I111" s="887"/>
      <c r="J111" s="887"/>
      <c r="K111" s="887"/>
      <c r="L111" s="887"/>
      <c r="M111" s="887"/>
      <c r="N111" s="887"/>
      <c r="O111" s="887"/>
      <c r="P111" s="888"/>
      <c r="Q111" s="882"/>
      <c r="AF111" s="887"/>
      <c r="AG111" s="882"/>
    </row>
    <row r="112" spans="1:33" hidden="1" x14ac:dyDescent="0.25">
      <c r="A112" s="973"/>
      <c r="B112" s="1045"/>
      <c r="C112" s="1045"/>
      <c r="D112" s="887"/>
      <c r="E112" s="887"/>
      <c r="F112" s="887"/>
      <c r="G112" s="887"/>
      <c r="H112" s="887"/>
      <c r="I112" s="887"/>
      <c r="J112" s="887"/>
      <c r="K112" s="887"/>
      <c r="L112" s="887"/>
      <c r="M112" s="887"/>
      <c r="N112" s="887"/>
      <c r="O112" s="887"/>
      <c r="P112" s="888"/>
      <c r="Q112" s="882"/>
      <c r="AG112" s="882"/>
    </row>
    <row r="113" spans="1:33" ht="20.25" hidden="1" x14ac:dyDescent="0.3">
      <c r="A113" s="973"/>
      <c r="B113" s="1045"/>
      <c r="C113" s="1045"/>
      <c r="D113" s="887"/>
      <c r="E113" s="887"/>
      <c r="F113" s="887"/>
      <c r="G113" s="887"/>
      <c r="H113" s="887"/>
      <c r="I113" s="887"/>
      <c r="J113" s="887"/>
      <c r="K113" s="887"/>
      <c r="L113" s="887"/>
      <c r="M113" s="887"/>
      <c r="N113" s="887"/>
      <c r="O113" s="887"/>
      <c r="P113" s="888"/>
      <c r="Q113" s="1094"/>
      <c r="R113" s="875"/>
      <c r="S113" s="875"/>
      <c r="T113" s="875"/>
      <c r="U113" s="875"/>
      <c r="V113" s="875"/>
      <c r="W113" s="875"/>
      <c r="X113" s="877" t="s">
        <v>47</v>
      </c>
      <c r="Y113" s="875"/>
      <c r="Z113" s="875"/>
      <c r="AA113" s="875"/>
      <c r="AB113" s="875"/>
      <c r="AC113" s="875"/>
      <c r="AD113" s="875"/>
      <c r="AE113" s="875"/>
      <c r="AF113" s="878"/>
      <c r="AG113" s="882"/>
    </row>
    <row r="114" spans="1:33" ht="20.25" hidden="1" x14ac:dyDescent="0.3">
      <c r="A114" s="973"/>
      <c r="B114" s="1045"/>
      <c r="C114" s="1045"/>
      <c r="D114" s="887"/>
      <c r="E114" s="887"/>
      <c r="F114" s="887"/>
      <c r="G114" s="887"/>
      <c r="H114" s="887"/>
      <c r="I114" s="887"/>
      <c r="J114" s="887"/>
      <c r="K114" s="887"/>
      <c r="L114" s="887"/>
      <c r="M114" s="887"/>
      <c r="N114" s="887"/>
      <c r="O114" s="887"/>
      <c r="P114" s="888"/>
      <c r="Q114" s="882"/>
      <c r="R114" s="887"/>
      <c r="S114" s="887"/>
      <c r="T114" s="887"/>
      <c r="U114" s="887"/>
      <c r="V114" s="887"/>
      <c r="W114" s="887"/>
      <c r="X114" s="1274" t="s">
        <v>322</v>
      </c>
      <c r="Y114" s="887"/>
      <c r="Z114" s="887"/>
      <c r="AA114" s="887"/>
      <c r="AB114" s="887"/>
      <c r="AC114" s="887"/>
      <c r="AD114" s="887"/>
      <c r="AE114" s="887"/>
      <c r="AF114" s="888"/>
      <c r="AG114" s="882"/>
    </row>
    <row r="115" spans="1:33" ht="18" hidden="1" x14ac:dyDescent="0.25">
      <c r="A115" s="973"/>
      <c r="B115" s="1045"/>
      <c r="C115" s="1045"/>
      <c r="D115" s="887"/>
      <c r="E115" s="887"/>
      <c r="F115" s="887"/>
      <c r="G115" s="887"/>
      <c r="H115" s="887"/>
      <c r="I115" s="887"/>
      <c r="J115" s="887"/>
      <c r="K115" s="887"/>
      <c r="L115" s="887"/>
      <c r="M115" s="887"/>
      <c r="N115" s="887"/>
      <c r="O115" s="887"/>
      <c r="P115" s="888"/>
      <c r="Q115" s="882"/>
      <c r="R115" s="887"/>
      <c r="S115" s="887"/>
      <c r="T115" s="887"/>
      <c r="U115" s="887"/>
      <c r="V115" s="887"/>
      <c r="W115" s="887"/>
      <c r="X115" s="889">
        <v>41640</v>
      </c>
      <c r="Y115" s="887"/>
      <c r="Z115" s="887"/>
      <c r="AA115" s="887"/>
      <c r="AB115" s="887"/>
      <c r="AC115" s="887"/>
      <c r="AD115" s="887"/>
      <c r="AE115" s="887"/>
      <c r="AF115" s="888"/>
      <c r="AG115" s="882"/>
    </row>
    <row r="116" spans="1:33" hidden="1" x14ac:dyDescent="0.25">
      <c r="A116" s="973"/>
      <c r="B116" s="1045"/>
      <c r="C116" s="1045"/>
      <c r="D116" s="887"/>
      <c r="E116" s="887"/>
      <c r="F116" s="887"/>
      <c r="G116" s="887"/>
      <c r="H116" s="887"/>
      <c r="I116" s="887"/>
      <c r="J116" s="887"/>
      <c r="K116" s="887"/>
      <c r="L116" s="887"/>
      <c r="M116" s="887"/>
      <c r="N116" s="887"/>
      <c r="O116" s="887"/>
      <c r="P116" s="888"/>
      <c r="Q116" s="882"/>
      <c r="R116" s="887"/>
      <c r="S116" s="887"/>
      <c r="T116" s="887"/>
      <c r="U116" s="887"/>
      <c r="V116" s="887"/>
      <c r="W116" s="887"/>
      <c r="X116" s="887"/>
      <c r="Y116" s="887"/>
      <c r="Z116" s="887"/>
      <c r="AA116" s="887"/>
      <c r="AB116" s="887"/>
      <c r="AC116" s="887"/>
      <c r="AD116" s="887"/>
      <c r="AE116" s="887"/>
      <c r="AF116" s="888"/>
      <c r="AG116" s="882"/>
    </row>
    <row r="117" spans="1:33" hidden="1" x14ac:dyDescent="0.25">
      <c r="A117" s="973"/>
      <c r="B117" s="1045"/>
      <c r="C117" s="1045"/>
      <c r="D117" s="887"/>
      <c r="E117" s="887"/>
      <c r="F117" s="887"/>
      <c r="G117" s="887"/>
      <c r="H117" s="887"/>
      <c r="I117" s="887"/>
      <c r="J117" s="887"/>
      <c r="K117" s="887"/>
      <c r="L117" s="887"/>
      <c r="M117" s="887"/>
      <c r="N117" s="887"/>
      <c r="O117" s="887"/>
      <c r="P117" s="888"/>
      <c r="Q117" s="1046"/>
      <c r="R117" s="897" t="s">
        <v>805</v>
      </c>
      <c r="S117" s="1216"/>
      <c r="T117" s="1216"/>
      <c r="U117" s="897" t="s">
        <v>805</v>
      </c>
      <c r="V117" s="1216"/>
      <c r="W117" s="1216"/>
      <c r="X117" s="897" t="s">
        <v>805</v>
      </c>
      <c r="Y117" s="1216"/>
      <c r="Z117" s="1216"/>
      <c r="AA117" s="897" t="s">
        <v>805</v>
      </c>
      <c r="AB117" s="897"/>
      <c r="AC117" s="897"/>
      <c r="AD117" s="1216"/>
      <c r="AE117" s="1216"/>
      <c r="AF117" s="1095"/>
      <c r="AG117" s="882"/>
    </row>
    <row r="118" spans="1:33" hidden="1" x14ac:dyDescent="0.25">
      <c r="A118" s="973"/>
      <c r="B118" s="1045"/>
      <c r="C118" s="1045"/>
      <c r="D118" s="887"/>
      <c r="E118" s="887"/>
      <c r="F118" s="887"/>
      <c r="G118" s="887"/>
      <c r="H118" s="887"/>
      <c r="I118" s="887"/>
      <c r="J118" s="887"/>
      <c r="K118" s="887"/>
      <c r="L118" s="887"/>
      <c r="M118" s="887"/>
      <c r="N118" s="887"/>
      <c r="O118" s="887"/>
      <c r="P118" s="888"/>
      <c r="Q118" s="1096"/>
      <c r="R118" s="1680">
        <v>2004</v>
      </c>
      <c r="S118" s="1681"/>
      <c r="T118" s="1682"/>
      <c r="U118" s="1670" t="s">
        <v>538</v>
      </c>
      <c r="V118" s="1670"/>
      <c r="W118" s="1671"/>
      <c r="X118" s="1671" t="s">
        <v>610</v>
      </c>
      <c r="Y118" s="1672"/>
      <c r="Z118" s="1673"/>
      <c r="AA118" s="1671" t="s">
        <v>704</v>
      </c>
      <c r="AB118" s="1672"/>
      <c r="AC118" s="1672"/>
      <c r="AD118" s="1671" t="s">
        <v>1059</v>
      </c>
      <c r="AE118" s="1673"/>
      <c r="AF118" s="1097"/>
      <c r="AG118" s="882"/>
    </row>
    <row r="119" spans="1:33" hidden="1" x14ac:dyDescent="0.25">
      <c r="A119" s="973"/>
      <c r="B119" s="1045"/>
      <c r="C119" s="1045"/>
      <c r="D119" s="887"/>
      <c r="E119" s="887"/>
      <c r="F119" s="887"/>
      <c r="G119" s="887"/>
      <c r="H119" s="887"/>
      <c r="I119" s="887"/>
      <c r="J119" s="887"/>
      <c r="K119" s="887"/>
      <c r="L119" s="887"/>
      <c r="M119" s="887"/>
      <c r="N119" s="887"/>
      <c r="O119" s="887"/>
      <c r="P119" s="888"/>
      <c r="Q119" s="1051"/>
      <c r="R119" s="916" t="s">
        <v>38</v>
      </c>
      <c r="S119" s="918" t="s">
        <v>53</v>
      </c>
      <c r="T119" s="918" t="s">
        <v>40</v>
      </c>
      <c r="U119" s="916" t="s">
        <v>38</v>
      </c>
      <c r="V119" s="918" t="s">
        <v>53</v>
      </c>
      <c r="W119" s="918" t="s">
        <v>40</v>
      </c>
      <c r="X119" s="916" t="s">
        <v>38</v>
      </c>
      <c r="Y119" s="918" t="s">
        <v>53</v>
      </c>
      <c r="Z119" s="918" t="s">
        <v>40</v>
      </c>
      <c r="AA119" s="916" t="s">
        <v>38</v>
      </c>
      <c r="AB119" s="918" t="s">
        <v>53</v>
      </c>
      <c r="AC119" s="918" t="s">
        <v>40</v>
      </c>
      <c r="AD119" s="913" t="s">
        <v>38</v>
      </c>
      <c r="AE119" s="1187" t="s">
        <v>53</v>
      </c>
      <c r="AF119" s="1188"/>
      <c r="AG119" s="882"/>
    </row>
    <row r="120" spans="1:33" hidden="1" x14ac:dyDescent="0.25">
      <c r="A120" s="973"/>
      <c r="B120" s="1045"/>
      <c r="C120" s="1045"/>
      <c r="D120" s="887"/>
      <c r="E120" s="887"/>
      <c r="F120" s="887"/>
      <c r="G120" s="887"/>
      <c r="H120" s="887"/>
      <c r="I120" s="887"/>
      <c r="J120" s="887"/>
      <c r="K120" s="887"/>
      <c r="L120" s="887"/>
      <c r="M120" s="887"/>
      <c r="N120" s="887"/>
      <c r="O120" s="887"/>
      <c r="P120" s="888"/>
      <c r="Q120" s="919" t="s">
        <v>54</v>
      </c>
      <c r="R120" s="927">
        <v>0</v>
      </c>
      <c r="S120" s="1032"/>
      <c r="T120" s="928">
        <v>158.69999999999999</v>
      </c>
      <c r="U120" s="920">
        <v>0</v>
      </c>
      <c r="V120" s="926"/>
      <c r="W120" s="921">
        <v>0.6</v>
      </c>
      <c r="X120" s="930">
        <v>61</v>
      </c>
      <c r="Y120" s="930"/>
      <c r="Z120" s="930">
        <v>0</v>
      </c>
      <c r="AA120" s="924">
        <v>53.5</v>
      </c>
      <c r="AB120" s="931"/>
      <c r="AC120" s="925">
        <v>156.69999999999999</v>
      </c>
      <c r="AD120" s="1189">
        <v>62.5</v>
      </c>
      <c r="AE120" s="1190">
        <v>28.5</v>
      </c>
      <c r="AF120" s="929" t="s">
        <v>54</v>
      </c>
      <c r="AG120" s="882"/>
    </row>
    <row r="121" spans="1:33" hidden="1" x14ac:dyDescent="0.25">
      <c r="A121" s="973"/>
      <c r="B121" s="1045"/>
      <c r="C121" s="1045"/>
      <c r="D121" s="887"/>
      <c r="E121" s="887"/>
      <c r="F121" s="887"/>
      <c r="G121" s="887"/>
      <c r="H121" s="887"/>
      <c r="I121" s="887"/>
      <c r="J121" s="887"/>
      <c r="K121" s="887"/>
      <c r="L121" s="887"/>
      <c r="M121" s="887"/>
      <c r="N121" s="887"/>
      <c r="O121" s="887"/>
      <c r="P121" s="888"/>
      <c r="Q121" s="919" t="s">
        <v>55</v>
      </c>
      <c r="R121" s="922">
        <v>0.1</v>
      </c>
      <c r="S121" s="930"/>
      <c r="T121" s="923">
        <v>106.9</v>
      </c>
      <c r="U121" s="924">
        <v>4.5999999999999996</v>
      </c>
      <c r="V121" s="931"/>
      <c r="W121" s="925">
        <v>69.7</v>
      </c>
      <c r="X121" s="930">
        <v>71.900000000000006</v>
      </c>
      <c r="Y121" s="930"/>
      <c r="Z121" s="930">
        <v>0</v>
      </c>
      <c r="AA121" s="924">
        <v>0.8</v>
      </c>
      <c r="AB121" s="931"/>
      <c r="AC121" s="925">
        <v>80.3</v>
      </c>
      <c r="AD121" s="903">
        <v>56.2</v>
      </c>
      <c r="AE121" s="1191">
        <v>39</v>
      </c>
      <c r="AF121" s="929" t="s">
        <v>55</v>
      </c>
      <c r="AG121" s="882"/>
    </row>
    <row r="122" spans="1:33" hidden="1" x14ac:dyDescent="0.25">
      <c r="A122" s="973"/>
      <c r="B122" s="1045"/>
      <c r="C122" s="1045"/>
      <c r="D122" s="887"/>
      <c r="E122" s="887"/>
      <c r="F122" s="887"/>
      <c r="G122" s="887"/>
      <c r="H122" s="887"/>
      <c r="I122" s="887"/>
      <c r="J122" s="887"/>
      <c r="K122" s="887"/>
      <c r="L122" s="887"/>
      <c r="M122" s="887"/>
      <c r="N122" s="887"/>
      <c r="O122" s="887"/>
      <c r="P122" s="888"/>
      <c r="Q122" s="919" t="s">
        <v>58</v>
      </c>
      <c r="R122" s="922">
        <v>1.8</v>
      </c>
      <c r="S122" s="930"/>
      <c r="T122" s="923">
        <v>105.5</v>
      </c>
      <c r="U122" s="924">
        <v>26.1</v>
      </c>
      <c r="V122" s="931"/>
      <c r="W122" s="925">
        <v>97.7</v>
      </c>
      <c r="X122" s="930">
        <v>5.0999999999999996</v>
      </c>
      <c r="Y122" s="930"/>
      <c r="Z122" s="930">
        <v>56.8</v>
      </c>
      <c r="AA122" s="924">
        <v>4.3</v>
      </c>
      <c r="AB122" s="931"/>
      <c r="AC122" s="925">
        <v>205.9</v>
      </c>
      <c r="AD122" s="903">
        <v>124.3</v>
      </c>
      <c r="AE122" s="1191">
        <v>160.4</v>
      </c>
      <c r="AF122" s="929" t="s">
        <v>58</v>
      </c>
      <c r="AG122" s="882"/>
    </row>
    <row r="123" spans="1:33" hidden="1" x14ac:dyDescent="0.25">
      <c r="A123" s="973"/>
      <c r="B123" s="1045"/>
      <c r="C123" s="1045"/>
      <c r="D123" s="887"/>
      <c r="E123" s="887"/>
      <c r="F123" s="887"/>
      <c r="G123" s="887"/>
      <c r="H123" s="887"/>
      <c r="I123" s="887"/>
      <c r="J123" s="887"/>
      <c r="K123" s="887"/>
      <c r="L123" s="887"/>
      <c r="M123" s="887"/>
      <c r="N123" s="887"/>
      <c r="O123" s="887"/>
      <c r="P123" s="888"/>
      <c r="Q123" s="919" t="s">
        <v>61</v>
      </c>
      <c r="R123" s="922">
        <v>13.3</v>
      </c>
      <c r="S123" s="930"/>
      <c r="T123" s="923">
        <v>156.5</v>
      </c>
      <c r="U123" s="924">
        <v>105.1</v>
      </c>
      <c r="V123" s="931"/>
      <c r="W123" s="925">
        <v>125.7</v>
      </c>
      <c r="X123" s="930">
        <v>0.2</v>
      </c>
      <c r="Y123" s="930"/>
      <c r="Z123" s="930">
        <v>89.4</v>
      </c>
      <c r="AA123" s="924">
        <v>45.7</v>
      </c>
      <c r="AB123" s="931">
        <v>182.6</v>
      </c>
      <c r="AC123" s="925"/>
      <c r="AD123" s="903">
        <v>133.30000000000001</v>
      </c>
      <c r="AE123" s="1191">
        <v>173.3</v>
      </c>
      <c r="AF123" s="929" t="s">
        <v>61</v>
      </c>
      <c r="AG123" s="882"/>
    </row>
    <row r="124" spans="1:33" hidden="1" x14ac:dyDescent="0.25">
      <c r="A124" s="973"/>
      <c r="B124" s="1045"/>
      <c r="C124" s="1045"/>
      <c r="D124" s="887"/>
      <c r="E124" s="887"/>
      <c r="F124" s="887"/>
      <c r="G124" s="887"/>
      <c r="H124" s="887"/>
      <c r="I124" s="887"/>
      <c r="J124" s="887"/>
      <c r="K124" s="887"/>
      <c r="L124" s="887"/>
      <c r="M124" s="887"/>
      <c r="N124" s="887"/>
      <c r="O124" s="887"/>
      <c r="P124" s="888"/>
      <c r="Q124" s="919" t="s">
        <v>63</v>
      </c>
      <c r="R124" s="922">
        <v>30.2</v>
      </c>
      <c r="S124" s="930"/>
      <c r="T124" s="923">
        <v>140.5</v>
      </c>
      <c r="U124" s="924">
        <v>34.6</v>
      </c>
      <c r="V124" s="931"/>
      <c r="W124" s="925">
        <v>276.8</v>
      </c>
      <c r="X124" s="930">
        <v>0.7</v>
      </c>
      <c r="Y124" s="930"/>
      <c r="Z124" s="930">
        <v>209.3</v>
      </c>
      <c r="AA124" s="924">
        <v>43.7</v>
      </c>
      <c r="AB124" s="931">
        <v>290.2</v>
      </c>
      <c r="AC124" s="925"/>
      <c r="AD124" s="903">
        <v>132.1</v>
      </c>
      <c r="AE124" s="1191"/>
      <c r="AF124" s="929" t="s">
        <v>63</v>
      </c>
      <c r="AG124" s="882"/>
    </row>
    <row r="125" spans="1:33" hidden="1" x14ac:dyDescent="0.25">
      <c r="A125" s="973"/>
      <c r="B125" s="1045"/>
      <c r="C125" s="1045"/>
      <c r="D125" s="887"/>
      <c r="E125" s="887"/>
      <c r="F125" s="887"/>
      <c r="G125" s="887"/>
      <c r="H125" s="887"/>
      <c r="I125" s="887"/>
      <c r="J125" s="887"/>
      <c r="K125" s="887"/>
      <c r="L125" s="887"/>
      <c r="M125" s="887"/>
      <c r="N125" s="887"/>
      <c r="O125" s="887"/>
      <c r="P125" s="888"/>
      <c r="Q125" s="933" t="s">
        <v>65</v>
      </c>
      <c r="R125" s="936">
        <v>28.6</v>
      </c>
      <c r="S125" s="940"/>
      <c r="T125" s="937">
        <v>174.7</v>
      </c>
      <c r="U125" s="934">
        <v>52</v>
      </c>
      <c r="V125" s="938"/>
      <c r="W125" s="935">
        <v>241.2</v>
      </c>
      <c r="X125" s="940">
        <v>18</v>
      </c>
      <c r="Y125" s="940"/>
      <c r="Z125" s="940">
        <v>290.60000000000002</v>
      </c>
      <c r="AA125" s="934">
        <v>118.7</v>
      </c>
      <c r="AB125" s="938">
        <v>258.5</v>
      </c>
      <c r="AC125" s="935"/>
      <c r="AD125" s="983">
        <v>201.4</v>
      </c>
      <c r="AE125" s="1101"/>
      <c r="AF125" s="939" t="s">
        <v>65</v>
      </c>
      <c r="AG125" s="882"/>
    </row>
    <row r="126" spans="1:33" hidden="1" x14ac:dyDescent="0.25">
      <c r="A126" s="973"/>
      <c r="B126" s="1045"/>
      <c r="C126" s="1045"/>
      <c r="D126" s="887"/>
      <c r="E126" s="887"/>
      <c r="F126" s="887"/>
      <c r="G126" s="887"/>
      <c r="H126" s="887"/>
      <c r="I126" s="887"/>
      <c r="J126" s="887"/>
      <c r="K126" s="887"/>
      <c r="L126" s="887"/>
      <c r="M126" s="887"/>
      <c r="N126" s="887"/>
      <c r="O126" s="887"/>
      <c r="P126" s="888"/>
      <c r="Q126" s="919" t="s">
        <v>67</v>
      </c>
      <c r="R126" s="922">
        <v>51.3</v>
      </c>
      <c r="S126" s="930"/>
      <c r="T126" s="923">
        <v>253.8</v>
      </c>
      <c r="U126" s="924">
        <v>83.7</v>
      </c>
      <c r="V126" s="931"/>
      <c r="W126" s="925">
        <v>267.89999999999998</v>
      </c>
      <c r="X126" s="930">
        <v>36.299999999999997</v>
      </c>
      <c r="Y126" s="930"/>
      <c r="Z126" s="930">
        <v>173.9</v>
      </c>
      <c r="AA126" s="924">
        <v>137.9</v>
      </c>
      <c r="AB126" s="931">
        <v>289.8</v>
      </c>
      <c r="AC126" s="925"/>
      <c r="AD126" s="1189">
        <v>269.7</v>
      </c>
      <c r="AE126" s="1191"/>
      <c r="AF126" s="929" t="s">
        <v>67</v>
      </c>
      <c r="AG126" s="882"/>
    </row>
    <row r="127" spans="1:33" hidden="1" x14ac:dyDescent="0.25">
      <c r="A127" s="973"/>
      <c r="B127" s="1045"/>
      <c r="C127" s="1045"/>
      <c r="D127" s="887"/>
      <c r="E127" s="887"/>
      <c r="F127" s="887"/>
      <c r="G127" s="887"/>
      <c r="H127" s="887"/>
      <c r="I127" s="887"/>
      <c r="J127" s="887"/>
      <c r="K127" s="887"/>
      <c r="L127" s="887"/>
      <c r="M127" s="887"/>
      <c r="N127" s="887"/>
      <c r="O127" s="887"/>
      <c r="P127" s="888"/>
      <c r="Q127" s="919" t="s">
        <v>62</v>
      </c>
      <c r="R127" s="922">
        <v>3.2</v>
      </c>
      <c r="S127" s="930"/>
      <c r="T127" s="923">
        <v>295.2</v>
      </c>
      <c r="U127" s="924">
        <v>84.1</v>
      </c>
      <c r="V127" s="931"/>
      <c r="W127" s="925">
        <v>253</v>
      </c>
      <c r="X127" s="930">
        <v>27.1</v>
      </c>
      <c r="Y127" s="930"/>
      <c r="Z127" s="930">
        <v>183.1</v>
      </c>
      <c r="AA127" s="924">
        <v>49.7</v>
      </c>
      <c r="AB127" s="931">
        <v>379.1</v>
      </c>
      <c r="AC127" s="925"/>
      <c r="AD127" s="903">
        <v>279</v>
      </c>
      <c r="AE127" s="1191"/>
      <c r="AF127" s="929" t="s">
        <v>62</v>
      </c>
      <c r="AG127" s="882"/>
    </row>
    <row r="128" spans="1:33" hidden="1" x14ac:dyDescent="0.25">
      <c r="A128" s="973"/>
      <c r="B128" s="1045"/>
      <c r="C128" s="1045"/>
      <c r="D128" s="887"/>
      <c r="E128" s="887"/>
      <c r="F128" s="887"/>
      <c r="G128" s="887"/>
      <c r="H128" s="887"/>
      <c r="I128" s="887"/>
      <c r="J128" s="887"/>
      <c r="K128" s="887"/>
      <c r="L128" s="887"/>
      <c r="M128" s="887"/>
      <c r="N128" s="887"/>
      <c r="O128" s="887"/>
      <c r="P128" s="888"/>
      <c r="Q128" s="919" t="s">
        <v>64</v>
      </c>
      <c r="R128" s="922">
        <v>9.4</v>
      </c>
      <c r="S128" s="1098"/>
      <c r="T128" s="923">
        <v>270.3</v>
      </c>
      <c r="U128" s="924">
        <v>66.900000000000006</v>
      </c>
      <c r="V128" s="1054"/>
      <c r="W128" s="925">
        <v>260</v>
      </c>
      <c r="X128" s="930">
        <v>25</v>
      </c>
      <c r="Y128" s="930"/>
      <c r="Z128" s="930">
        <v>185.2</v>
      </c>
      <c r="AA128" s="924">
        <v>33</v>
      </c>
      <c r="AB128" s="931">
        <v>353.8</v>
      </c>
      <c r="AC128" s="925"/>
      <c r="AD128" s="903">
        <v>254.1</v>
      </c>
      <c r="AE128" s="1191"/>
      <c r="AF128" s="929" t="s">
        <v>64</v>
      </c>
      <c r="AG128" s="882"/>
    </row>
    <row r="129" spans="1:33" hidden="1" x14ac:dyDescent="0.25">
      <c r="A129" s="973"/>
      <c r="B129" s="1045"/>
      <c r="C129" s="1045"/>
      <c r="D129" s="887"/>
      <c r="E129" s="887"/>
      <c r="F129" s="887"/>
      <c r="G129" s="887"/>
      <c r="H129" s="887"/>
      <c r="I129" s="887"/>
      <c r="J129" s="887"/>
      <c r="K129" s="887"/>
      <c r="L129" s="887"/>
      <c r="M129" s="887"/>
      <c r="N129" s="887"/>
      <c r="O129" s="887"/>
      <c r="P129" s="888"/>
      <c r="Q129" s="919" t="s">
        <v>66</v>
      </c>
      <c r="R129" s="922">
        <v>0.2</v>
      </c>
      <c r="S129" s="1098"/>
      <c r="T129" s="923">
        <v>188.1</v>
      </c>
      <c r="U129" s="924">
        <v>48.3</v>
      </c>
      <c r="V129" s="1054"/>
      <c r="W129" s="925">
        <v>158.80000000000001</v>
      </c>
      <c r="X129" s="930">
        <v>15</v>
      </c>
      <c r="Y129" s="930"/>
      <c r="Z129" s="930">
        <v>195.2</v>
      </c>
      <c r="AA129" s="924">
        <v>50.5</v>
      </c>
      <c r="AB129" s="931">
        <v>241</v>
      </c>
      <c r="AC129" s="925"/>
      <c r="AD129" s="903">
        <v>268.8</v>
      </c>
      <c r="AE129" s="1191"/>
      <c r="AF129" s="929" t="s">
        <v>66</v>
      </c>
      <c r="AG129" s="882"/>
    </row>
    <row r="130" spans="1:33" hidden="1" x14ac:dyDescent="0.25">
      <c r="A130" s="973"/>
      <c r="B130" s="1045"/>
      <c r="C130" s="1045"/>
      <c r="D130" s="887"/>
      <c r="E130" s="887"/>
      <c r="F130" s="887"/>
      <c r="G130" s="887"/>
      <c r="H130" s="887"/>
      <c r="I130" s="887"/>
      <c r="J130" s="887"/>
      <c r="K130" s="887"/>
      <c r="L130" s="887"/>
      <c r="M130" s="887"/>
      <c r="N130" s="887"/>
      <c r="O130" s="887"/>
      <c r="P130" s="888"/>
      <c r="Q130" s="919" t="s">
        <v>56</v>
      </c>
      <c r="R130" s="922">
        <v>2.1</v>
      </c>
      <c r="S130" s="1098"/>
      <c r="T130" s="923">
        <v>143.1</v>
      </c>
      <c r="U130" s="924">
        <v>23</v>
      </c>
      <c r="V130" s="1054"/>
      <c r="W130" s="925">
        <v>146.6</v>
      </c>
      <c r="X130" s="930">
        <v>14.4</v>
      </c>
      <c r="Y130" s="930"/>
      <c r="Z130" s="930">
        <v>195.8</v>
      </c>
      <c r="AA130" s="924">
        <v>104.7</v>
      </c>
      <c r="AB130" s="931">
        <v>5</v>
      </c>
      <c r="AC130" s="925"/>
      <c r="AD130" s="903">
        <v>156</v>
      </c>
      <c r="AE130" s="1191"/>
      <c r="AF130" s="929" t="s">
        <v>56</v>
      </c>
      <c r="AG130" s="882"/>
    </row>
    <row r="131" spans="1:33" hidden="1" x14ac:dyDescent="0.25">
      <c r="A131" s="973"/>
      <c r="B131" s="1045"/>
      <c r="C131" s="1045"/>
      <c r="D131" s="887"/>
      <c r="E131" s="887"/>
      <c r="F131" s="887"/>
      <c r="G131" s="887"/>
      <c r="H131" s="887"/>
      <c r="I131" s="887"/>
      <c r="J131" s="887"/>
      <c r="K131" s="887"/>
      <c r="L131" s="887"/>
      <c r="M131" s="887"/>
      <c r="N131" s="887"/>
      <c r="O131" s="887"/>
      <c r="P131" s="888"/>
      <c r="Q131" s="933" t="s">
        <v>59</v>
      </c>
      <c r="R131" s="936">
        <v>2.2000000000000002</v>
      </c>
      <c r="S131" s="940"/>
      <c r="T131" s="937">
        <v>177.8</v>
      </c>
      <c r="U131" s="934">
        <v>14.4</v>
      </c>
      <c r="V131" s="938"/>
      <c r="W131" s="935">
        <v>192</v>
      </c>
      <c r="X131" s="940">
        <v>2.5</v>
      </c>
      <c r="Y131" s="940"/>
      <c r="Z131" s="940">
        <v>207.7</v>
      </c>
      <c r="AA131" s="934">
        <v>89.5</v>
      </c>
      <c r="AB131" s="938"/>
      <c r="AC131" s="935"/>
      <c r="AD131" s="983">
        <v>62.7</v>
      </c>
      <c r="AE131" s="1191"/>
      <c r="AF131" s="939" t="s">
        <v>59</v>
      </c>
      <c r="AG131" s="882"/>
    </row>
    <row r="132" spans="1:33" hidden="1" x14ac:dyDescent="0.25">
      <c r="A132" s="973"/>
      <c r="B132" s="1045"/>
      <c r="C132" s="1045"/>
      <c r="D132" s="887"/>
      <c r="E132" s="887"/>
      <c r="F132" s="887"/>
      <c r="G132" s="887"/>
      <c r="H132" s="887"/>
      <c r="I132" s="887"/>
      <c r="J132" s="887"/>
      <c r="K132" s="887"/>
      <c r="L132" s="887"/>
      <c r="M132" s="887"/>
      <c r="N132" s="887"/>
      <c r="O132" s="887"/>
      <c r="P132" s="888"/>
      <c r="Q132" s="951"/>
      <c r="R132" s="948">
        <f t="shared" ref="R132:AA132" si="25">SUM(R120:R131)</f>
        <v>142.39999999999998</v>
      </c>
      <c r="S132" s="950">
        <f t="shared" si="25"/>
        <v>0</v>
      </c>
      <c r="T132" s="949">
        <f t="shared" si="25"/>
        <v>2171.1</v>
      </c>
      <c r="U132" s="948">
        <f t="shared" si="25"/>
        <v>542.80000000000007</v>
      </c>
      <c r="V132" s="950">
        <f t="shared" si="25"/>
        <v>0</v>
      </c>
      <c r="W132" s="949">
        <f t="shared" si="25"/>
        <v>2090</v>
      </c>
      <c r="X132" s="948">
        <f t="shared" si="25"/>
        <v>277.19999999999993</v>
      </c>
      <c r="Y132" s="950">
        <f t="shared" si="25"/>
        <v>0</v>
      </c>
      <c r="Z132" s="950">
        <f t="shared" si="25"/>
        <v>1787</v>
      </c>
      <c r="AA132" s="946">
        <f t="shared" si="25"/>
        <v>732</v>
      </c>
      <c r="AB132" s="953">
        <f>SUM(AB120:AB131)</f>
        <v>1999.9999999999998</v>
      </c>
      <c r="AC132" s="947">
        <f>SUM(AC120:AC131)</f>
        <v>442.9</v>
      </c>
      <c r="AD132" s="1189">
        <f>SUM(AD120:AD131)</f>
        <v>2000.1</v>
      </c>
      <c r="AE132" s="1192">
        <f>SUM(AE120:AE131)</f>
        <v>401.20000000000005</v>
      </c>
      <c r="AF132" s="1193"/>
      <c r="AG132" s="882"/>
    </row>
    <row r="133" spans="1:33" hidden="1" x14ac:dyDescent="0.25">
      <c r="A133" s="973"/>
      <c r="B133" s="1045"/>
      <c r="C133" s="1045"/>
      <c r="D133" s="887"/>
      <c r="E133" s="887"/>
      <c r="F133" s="887"/>
      <c r="G133" s="887"/>
      <c r="H133" s="887"/>
      <c r="I133" s="887"/>
      <c r="J133" s="887"/>
      <c r="K133" s="887"/>
      <c r="L133" s="887"/>
      <c r="M133" s="887"/>
      <c r="N133" s="887"/>
      <c r="O133" s="887"/>
      <c r="P133" s="888"/>
      <c r="Q133" s="965"/>
      <c r="R133" s="966"/>
      <c r="S133" s="1065" t="s">
        <v>577</v>
      </c>
      <c r="T133" s="967">
        <f>SUM(R120:T131)</f>
        <v>2313.5</v>
      </c>
      <c r="U133" s="966"/>
      <c r="V133" s="1065" t="s">
        <v>577</v>
      </c>
      <c r="W133" s="967">
        <f>SUM(U120:W131)</f>
        <v>2632.8</v>
      </c>
      <c r="X133" s="966"/>
      <c r="Y133" s="1065" t="s">
        <v>577</v>
      </c>
      <c r="Z133" s="971">
        <f>SUM(X120:Z131)</f>
        <v>2064.1999999999998</v>
      </c>
      <c r="AA133" s="966"/>
      <c r="AB133" s="1100" t="s">
        <v>577</v>
      </c>
      <c r="AC133" s="967">
        <f>SUM(AA132+AB132+AC132)</f>
        <v>3174.9</v>
      </c>
      <c r="AD133" s="1194" t="s">
        <v>577</v>
      </c>
      <c r="AE133" s="987">
        <f>AD132+AE132</f>
        <v>2401.3000000000002</v>
      </c>
      <c r="AF133" s="1195"/>
      <c r="AG133" s="882"/>
    </row>
    <row r="134" spans="1:33" hidden="1" x14ac:dyDescent="0.25">
      <c r="A134" s="973"/>
      <c r="B134" s="1045"/>
      <c r="C134" s="1045"/>
      <c r="D134" s="887"/>
      <c r="E134" s="887"/>
      <c r="F134" s="887"/>
      <c r="G134" s="887"/>
      <c r="H134" s="887"/>
      <c r="I134" s="887"/>
      <c r="J134" s="887"/>
      <c r="K134" s="887"/>
      <c r="L134" s="887"/>
      <c r="M134" s="887"/>
      <c r="N134" s="887"/>
      <c r="O134" s="887"/>
      <c r="P134" s="888"/>
      <c r="Q134" s="882"/>
      <c r="R134" s="887"/>
      <c r="S134" s="887"/>
      <c r="T134" s="887"/>
      <c r="U134" s="887"/>
      <c r="V134" s="887"/>
      <c r="W134" s="887"/>
      <c r="X134" s="887"/>
      <c r="Y134" s="887"/>
      <c r="Z134" s="887"/>
      <c r="AA134" s="887"/>
      <c r="AB134" s="887"/>
      <c r="AC134" s="887"/>
      <c r="AD134" s="875"/>
      <c r="AE134" s="887"/>
      <c r="AF134" s="888"/>
      <c r="AG134" s="882"/>
    </row>
    <row r="135" spans="1:33" hidden="1" x14ac:dyDescent="0.25">
      <c r="A135" s="973"/>
      <c r="B135" s="1045"/>
      <c r="C135" s="1045"/>
      <c r="D135" s="887"/>
      <c r="E135" s="887"/>
      <c r="F135" s="887"/>
      <c r="G135" s="887"/>
      <c r="H135" s="887"/>
      <c r="I135" s="887"/>
      <c r="J135" s="887"/>
      <c r="K135" s="887"/>
      <c r="L135" s="887"/>
      <c r="M135" s="887"/>
      <c r="N135" s="887"/>
      <c r="O135" s="887"/>
      <c r="P135" s="888"/>
      <c r="Q135" s="882"/>
      <c r="R135" s="898" t="s">
        <v>51</v>
      </c>
      <c r="S135" s="898"/>
      <c r="T135" s="977"/>
      <c r="U135" s="978" t="s">
        <v>51</v>
      </c>
      <c r="V135" s="977"/>
      <c r="W135" s="977"/>
      <c r="X135" s="898" t="s">
        <v>51</v>
      </c>
      <c r="Y135" s="898"/>
      <c r="Z135" s="977"/>
      <c r="AA135" s="978" t="s">
        <v>51</v>
      </c>
      <c r="AB135" s="978"/>
      <c r="AC135" s="978"/>
      <c r="AD135" s="977"/>
      <c r="AE135" s="977"/>
      <c r="AF135" s="888"/>
      <c r="AG135" s="882"/>
    </row>
    <row r="136" spans="1:33" hidden="1" x14ac:dyDescent="0.25">
      <c r="A136" s="973"/>
      <c r="B136" s="1045"/>
      <c r="C136" s="1045"/>
      <c r="D136" s="887"/>
      <c r="E136" s="887"/>
      <c r="F136" s="887"/>
      <c r="G136" s="887"/>
      <c r="H136" s="887"/>
      <c r="I136" s="887"/>
      <c r="J136" s="887"/>
      <c r="K136" s="887"/>
      <c r="L136" s="887"/>
      <c r="M136" s="887"/>
      <c r="N136" s="887"/>
      <c r="O136" s="887"/>
      <c r="P136" s="888"/>
      <c r="Q136" s="983"/>
      <c r="R136" s="1667">
        <v>2004</v>
      </c>
      <c r="S136" s="1668"/>
      <c r="T136" s="1669"/>
      <c r="U136" s="1670" t="s">
        <v>538</v>
      </c>
      <c r="V136" s="1670"/>
      <c r="W136" s="1671"/>
      <c r="X136" s="1671" t="s">
        <v>610</v>
      </c>
      <c r="Y136" s="1672"/>
      <c r="Z136" s="1673"/>
      <c r="AA136" s="1671" t="s">
        <v>704</v>
      </c>
      <c r="AB136" s="1672"/>
      <c r="AC136" s="1672"/>
      <c r="AD136" s="1672" t="s">
        <v>1059</v>
      </c>
      <c r="AE136" s="1673"/>
      <c r="AF136" s="1101"/>
      <c r="AG136" s="882"/>
    </row>
    <row r="137" spans="1:33" hidden="1" x14ac:dyDescent="0.25">
      <c r="A137" s="973"/>
      <c r="B137" s="1045"/>
      <c r="C137" s="1045"/>
      <c r="D137" s="887"/>
      <c r="E137" s="887"/>
      <c r="F137" s="887"/>
      <c r="G137" s="887"/>
      <c r="H137" s="887"/>
      <c r="I137" s="887"/>
      <c r="J137" s="887"/>
      <c r="K137" s="887"/>
      <c r="L137" s="887"/>
      <c r="M137" s="887"/>
      <c r="N137" s="887"/>
      <c r="O137" s="887"/>
      <c r="P137" s="888"/>
      <c r="Q137" s="919" t="s">
        <v>54</v>
      </c>
      <c r="R137" s="927">
        <f>145.8-T120</f>
        <v>-12.899999999999977</v>
      </c>
      <c r="S137" s="991"/>
      <c r="T137" s="989" t="s">
        <v>461</v>
      </c>
      <c r="U137" s="920">
        <f>65-W120</f>
        <v>64.400000000000006</v>
      </c>
      <c r="V137" s="1068"/>
      <c r="W137" s="990" t="s">
        <v>667</v>
      </c>
      <c r="X137" s="927">
        <v>84.7</v>
      </c>
      <c r="Y137" s="991"/>
      <c r="Z137" s="991"/>
      <c r="AA137" s="1102">
        <f>193-AC120</f>
        <v>36.300000000000011</v>
      </c>
      <c r="AB137" s="1103"/>
      <c r="AC137" s="990" t="s">
        <v>713</v>
      </c>
      <c r="AD137" s="1069">
        <v>0</v>
      </c>
      <c r="AE137" s="989" t="s">
        <v>1060</v>
      </c>
      <c r="AF137" s="929" t="s">
        <v>54</v>
      </c>
      <c r="AG137" s="882"/>
    </row>
    <row r="138" spans="1:33" hidden="1" x14ac:dyDescent="0.25">
      <c r="A138" s="973"/>
      <c r="B138" s="1045"/>
      <c r="C138" s="1045"/>
      <c r="D138" s="887"/>
      <c r="E138" s="887"/>
      <c r="F138" s="887"/>
      <c r="G138" s="887"/>
      <c r="H138" s="887"/>
      <c r="I138" s="887"/>
      <c r="J138" s="887"/>
      <c r="K138" s="887"/>
      <c r="L138" s="887"/>
      <c r="M138" s="887"/>
      <c r="N138" s="887"/>
      <c r="O138" s="887"/>
      <c r="P138" s="888"/>
      <c r="Q138" s="919" t="s">
        <v>55</v>
      </c>
      <c r="R138" s="922">
        <f>122.7-T121</f>
        <v>15.799999999999997</v>
      </c>
      <c r="S138" s="998"/>
      <c r="T138" s="997" t="s">
        <v>466</v>
      </c>
      <c r="U138" s="924">
        <f>54.3-69.7</f>
        <v>-15.400000000000006</v>
      </c>
      <c r="V138" s="1006"/>
      <c r="W138" s="996" t="s">
        <v>668</v>
      </c>
      <c r="X138" s="922">
        <v>116.2</v>
      </c>
      <c r="Y138" s="998"/>
      <c r="Z138" s="998"/>
      <c r="AA138" s="1104">
        <f>80.3-AC121</f>
        <v>0</v>
      </c>
      <c r="AB138" s="1105"/>
      <c r="AC138" s="996" t="s">
        <v>717</v>
      </c>
      <c r="AD138" s="1072">
        <v>0</v>
      </c>
      <c r="AE138" s="997" t="s">
        <v>1061</v>
      </c>
      <c r="AF138" s="929" t="s">
        <v>55</v>
      </c>
      <c r="AG138" s="882"/>
    </row>
    <row r="139" spans="1:33" hidden="1" x14ac:dyDescent="0.25">
      <c r="A139" s="973"/>
      <c r="B139" s="1045"/>
      <c r="C139" s="1045"/>
      <c r="D139" s="887"/>
      <c r="E139" s="887"/>
      <c r="F139" s="887"/>
      <c r="G139" s="887"/>
      <c r="H139" s="887"/>
      <c r="I139" s="887"/>
      <c r="J139" s="887"/>
      <c r="K139" s="887"/>
      <c r="L139" s="887"/>
      <c r="M139" s="887"/>
      <c r="N139" s="887"/>
      <c r="O139" s="887"/>
      <c r="P139" s="888"/>
      <c r="Q139" s="919" t="s">
        <v>58</v>
      </c>
      <c r="R139" s="922">
        <f>190.5-T122</f>
        <v>85</v>
      </c>
      <c r="S139" s="1076"/>
      <c r="T139" s="1077" t="s">
        <v>476</v>
      </c>
      <c r="U139" s="924">
        <v>-48</v>
      </c>
      <c r="V139" s="1075"/>
      <c r="W139" s="1078" t="s">
        <v>669</v>
      </c>
      <c r="X139" s="922">
        <v>0</v>
      </c>
      <c r="Y139" s="1076"/>
      <c r="Z139" s="1076" t="s">
        <v>651</v>
      </c>
      <c r="AA139" s="1104">
        <f>234.8-AC122</f>
        <v>28.900000000000006</v>
      </c>
      <c r="AB139" s="1025"/>
      <c r="AC139" s="1078" t="s">
        <v>720</v>
      </c>
      <c r="AD139" s="1072">
        <v>0</v>
      </c>
      <c r="AE139" s="1077" t="s">
        <v>1062</v>
      </c>
      <c r="AF139" s="929" t="s">
        <v>58</v>
      </c>
      <c r="AG139" s="882"/>
    </row>
    <row r="140" spans="1:33" hidden="1" x14ac:dyDescent="0.25">
      <c r="A140" s="973"/>
      <c r="B140" s="1045"/>
      <c r="C140" s="1045"/>
      <c r="D140" s="887"/>
      <c r="E140" s="887"/>
      <c r="F140" s="887"/>
      <c r="G140" s="887"/>
      <c r="H140" s="887"/>
      <c r="I140" s="887"/>
      <c r="J140" s="887"/>
      <c r="K140" s="887"/>
      <c r="L140" s="887"/>
      <c r="M140" s="887"/>
      <c r="N140" s="887"/>
      <c r="O140" s="887"/>
      <c r="P140" s="888"/>
      <c r="Q140" s="919" t="s">
        <v>61</v>
      </c>
      <c r="R140" s="922">
        <f>277-T123</f>
        <v>120.5</v>
      </c>
      <c r="S140" s="998"/>
      <c r="T140" s="997" t="s">
        <v>477</v>
      </c>
      <c r="U140" s="924">
        <f>103.6-112.1</f>
        <v>-8.5</v>
      </c>
      <c r="V140" s="1006"/>
      <c r="W140" s="996" t="s">
        <v>670</v>
      </c>
      <c r="X140" s="922">
        <v>0</v>
      </c>
      <c r="Y140" s="998"/>
      <c r="Z140" s="998" t="s">
        <v>652</v>
      </c>
      <c r="AA140" s="1104">
        <v>0</v>
      </c>
      <c r="AB140" s="1006" t="s">
        <v>727</v>
      </c>
      <c r="AC140" s="888"/>
      <c r="AD140" s="1072">
        <v>73.7</v>
      </c>
      <c r="AE140" s="997" t="s">
        <v>1063</v>
      </c>
      <c r="AF140" s="929" t="s">
        <v>61</v>
      </c>
      <c r="AG140" s="882"/>
    </row>
    <row r="141" spans="1:33" hidden="1" x14ac:dyDescent="0.25">
      <c r="A141" s="973"/>
      <c r="B141" s="1045"/>
      <c r="C141" s="1045"/>
      <c r="D141" s="887"/>
      <c r="E141" s="887"/>
      <c r="F141" s="887"/>
      <c r="G141" s="887"/>
      <c r="H141" s="887"/>
      <c r="I141" s="887"/>
      <c r="J141" s="887"/>
      <c r="K141" s="887"/>
      <c r="L141" s="887"/>
      <c r="M141" s="887"/>
      <c r="N141" s="887"/>
      <c r="O141" s="887"/>
      <c r="P141" s="888"/>
      <c r="Q141" s="919" t="s">
        <v>63</v>
      </c>
      <c r="R141" s="922">
        <f>334.3-T124</f>
        <v>193.8</v>
      </c>
      <c r="S141" s="998"/>
      <c r="T141" s="997" t="s">
        <v>482</v>
      </c>
      <c r="U141" s="924">
        <f>249.9-258.5</f>
        <v>-8.5999999999999943</v>
      </c>
      <c r="V141" s="1006"/>
      <c r="W141" s="996" t="s">
        <v>671</v>
      </c>
      <c r="X141" s="922">
        <v>0</v>
      </c>
      <c r="Y141" s="998"/>
      <c r="Z141" s="998" t="s">
        <v>655</v>
      </c>
      <c r="AA141" s="1104">
        <v>0</v>
      </c>
      <c r="AB141" s="1006" t="s">
        <v>736</v>
      </c>
      <c r="AC141" s="996"/>
      <c r="AD141" s="1072">
        <v>248</v>
      </c>
      <c r="AE141" s="997"/>
      <c r="AF141" s="929" t="s">
        <v>63</v>
      </c>
      <c r="AG141" s="882"/>
    </row>
    <row r="142" spans="1:33" hidden="1" x14ac:dyDescent="0.25">
      <c r="A142" s="973"/>
      <c r="B142" s="1045"/>
      <c r="C142" s="1045"/>
      <c r="D142" s="887"/>
      <c r="E142" s="887"/>
      <c r="F142" s="887"/>
      <c r="G142" s="887"/>
      <c r="H142" s="887"/>
      <c r="I142" s="887"/>
      <c r="J142" s="887"/>
      <c r="K142" s="887"/>
      <c r="L142" s="887"/>
      <c r="M142" s="887"/>
      <c r="N142" s="887"/>
      <c r="O142" s="887"/>
      <c r="P142" s="888"/>
      <c r="Q142" s="933" t="s">
        <v>65</v>
      </c>
      <c r="R142" s="936">
        <f>296.6-T125</f>
        <v>121.90000000000003</v>
      </c>
      <c r="S142" s="1003"/>
      <c r="T142" s="1002" t="s">
        <v>489</v>
      </c>
      <c r="U142" s="934">
        <f>268.7-224</f>
        <v>44.699999999999989</v>
      </c>
      <c r="V142" s="1009"/>
      <c r="W142" s="1001" t="s">
        <v>672</v>
      </c>
      <c r="X142" s="936">
        <v>0</v>
      </c>
      <c r="Y142" s="1003"/>
      <c r="Z142" s="1003" t="s">
        <v>680</v>
      </c>
      <c r="AA142" s="1008">
        <v>0</v>
      </c>
      <c r="AB142" s="1009" t="s">
        <v>738</v>
      </c>
      <c r="AC142" s="1001"/>
      <c r="AD142" s="968">
        <v>248.4</v>
      </c>
      <c r="AE142" s="1002"/>
      <c r="AF142" s="939" t="s">
        <v>65</v>
      </c>
      <c r="AG142" s="882"/>
    </row>
    <row r="143" spans="1:33" hidden="1" x14ac:dyDescent="0.25">
      <c r="A143" s="973"/>
      <c r="B143" s="1045"/>
      <c r="C143" s="1045"/>
      <c r="D143" s="887"/>
      <c r="E143" s="887"/>
      <c r="F143" s="887"/>
      <c r="G143" s="887"/>
      <c r="H143" s="887"/>
      <c r="I143" s="887"/>
      <c r="J143" s="887"/>
      <c r="K143" s="887"/>
      <c r="L143" s="887"/>
      <c r="M143" s="887"/>
      <c r="N143" s="887"/>
      <c r="O143" s="887"/>
      <c r="P143" s="888"/>
      <c r="Q143" s="919" t="s">
        <v>67</v>
      </c>
      <c r="R143" s="922">
        <f>343-T126</f>
        <v>89.199999999999989</v>
      </c>
      <c r="S143" s="998"/>
      <c r="T143" s="997" t="s">
        <v>493</v>
      </c>
      <c r="U143" s="924">
        <f>304.8-247.2</f>
        <v>57.600000000000023</v>
      </c>
      <c r="V143" s="1006"/>
      <c r="W143" s="996" t="s">
        <v>673</v>
      </c>
      <c r="X143" s="922">
        <f>358.9-173.9</f>
        <v>184.99999999999997</v>
      </c>
      <c r="Y143" s="998"/>
      <c r="Z143" s="998" t="s">
        <v>682</v>
      </c>
      <c r="AA143" s="1104">
        <v>0</v>
      </c>
      <c r="AB143" s="1006" t="s">
        <v>747</v>
      </c>
      <c r="AC143" s="996"/>
      <c r="AD143" s="1072">
        <v>143.5</v>
      </c>
      <c r="AE143" s="997"/>
      <c r="AF143" s="929" t="s">
        <v>67</v>
      </c>
      <c r="AG143" s="882"/>
    </row>
    <row r="144" spans="1:33" hidden="1" x14ac:dyDescent="0.25">
      <c r="A144" s="973"/>
      <c r="B144" s="1045"/>
      <c r="C144" s="1045"/>
      <c r="D144" s="887"/>
      <c r="E144" s="887"/>
      <c r="F144" s="887"/>
      <c r="G144" s="887"/>
      <c r="H144" s="887"/>
      <c r="I144" s="887"/>
      <c r="J144" s="887"/>
      <c r="K144" s="887"/>
      <c r="L144" s="887"/>
      <c r="M144" s="887"/>
      <c r="N144" s="887"/>
      <c r="O144" s="887"/>
      <c r="P144" s="888"/>
      <c r="Q144" s="919" t="s">
        <v>62</v>
      </c>
      <c r="R144" s="922">
        <f>386.6-T127</f>
        <v>91.400000000000034</v>
      </c>
      <c r="S144" s="998"/>
      <c r="T144" s="997" t="s">
        <v>496</v>
      </c>
      <c r="U144" s="924">
        <f>281.9-233.2</f>
        <v>48.699999999999989</v>
      </c>
      <c r="V144" s="1006"/>
      <c r="W144" s="996" t="s">
        <v>674</v>
      </c>
      <c r="X144" s="922">
        <f>346.9-183.1</f>
        <v>163.79999999999998</v>
      </c>
      <c r="Y144" s="998"/>
      <c r="Z144" s="998" t="s">
        <v>687</v>
      </c>
      <c r="AA144" s="1104">
        <v>0</v>
      </c>
      <c r="AB144" s="1006" t="s">
        <v>749</v>
      </c>
      <c r="AC144" s="996"/>
      <c r="AD144" s="1072">
        <v>116.1</v>
      </c>
      <c r="AE144" s="997"/>
      <c r="AF144" s="929" t="s">
        <v>62</v>
      </c>
      <c r="AG144" s="882"/>
    </row>
    <row r="145" spans="1:33" hidden="1" x14ac:dyDescent="0.25">
      <c r="A145" s="973"/>
      <c r="B145" s="1045"/>
      <c r="C145" s="1045"/>
      <c r="D145" s="887"/>
      <c r="E145" s="887"/>
      <c r="F145" s="887"/>
      <c r="G145" s="887"/>
      <c r="H145" s="887"/>
      <c r="I145" s="887"/>
      <c r="J145" s="887"/>
      <c r="K145" s="887"/>
      <c r="L145" s="887"/>
      <c r="M145" s="887"/>
      <c r="N145" s="887"/>
      <c r="O145" s="887"/>
      <c r="P145" s="888"/>
      <c r="Q145" s="919" t="s">
        <v>64</v>
      </c>
      <c r="R145" s="922">
        <f>359.5-T128</f>
        <v>89.199999999999989</v>
      </c>
      <c r="S145" s="998"/>
      <c r="T145" s="997" t="s">
        <v>505</v>
      </c>
      <c r="U145" s="924">
        <f>283.9-240.7</f>
        <v>43.199999999999989</v>
      </c>
      <c r="V145" s="1006"/>
      <c r="W145" s="996" t="s">
        <v>675</v>
      </c>
      <c r="X145" s="922">
        <f>306.8-185.8</f>
        <v>121</v>
      </c>
      <c r="Y145" s="998"/>
      <c r="Z145" s="998" t="s">
        <v>722</v>
      </c>
      <c r="AA145" s="1104">
        <v>0</v>
      </c>
      <c r="AB145" s="1006" t="s">
        <v>379</v>
      </c>
      <c r="AC145" s="996"/>
      <c r="AD145" s="1072">
        <v>110.3</v>
      </c>
      <c r="AE145" s="997"/>
      <c r="AF145" s="929" t="s">
        <v>64</v>
      </c>
      <c r="AG145" s="882"/>
    </row>
    <row r="146" spans="1:33" hidden="1" x14ac:dyDescent="0.25">
      <c r="A146" s="973"/>
      <c r="B146" s="1045"/>
      <c r="C146" s="1045"/>
      <c r="D146" s="887"/>
      <c r="E146" s="887"/>
      <c r="F146" s="887"/>
      <c r="G146" s="887"/>
      <c r="H146" s="887"/>
      <c r="I146" s="887"/>
      <c r="J146" s="887"/>
      <c r="K146" s="887"/>
      <c r="L146" s="887"/>
      <c r="M146" s="887"/>
      <c r="N146" s="887"/>
      <c r="O146" s="887"/>
      <c r="P146" s="888"/>
      <c r="Q146" s="919" t="s">
        <v>66</v>
      </c>
      <c r="R146" s="922">
        <f>194.5-T129</f>
        <v>6.4000000000000057</v>
      </c>
      <c r="S146" s="998"/>
      <c r="T146" s="997" t="s">
        <v>504</v>
      </c>
      <c r="U146" s="924">
        <f>206-146.6</f>
        <v>59.400000000000006</v>
      </c>
      <c r="V146" s="1006"/>
      <c r="W146" s="996" t="s">
        <v>676</v>
      </c>
      <c r="X146" s="922">
        <f>300.6-195.2</f>
        <v>105.40000000000003</v>
      </c>
      <c r="Y146" s="998"/>
      <c r="Z146" s="998" t="s">
        <v>695</v>
      </c>
      <c r="AA146" s="1104">
        <f>331.1-241</f>
        <v>90.100000000000023</v>
      </c>
      <c r="AB146" s="1006" t="s">
        <v>752</v>
      </c>
      <c r="AC146" s="996"/>
      <c r="AD146" s="1072">
        <v>132.80000000000001</v>
      </c>
      <c r="AE146" s="997"/>
      <c r="AF146" s="929" t="s">
        <v>66</v>
      </c>
      <c r="AG146" s="882"/>
    </row>
    <row r="147" spans="1:33" hidden="1" x14ac:dyDescent="0.25">
      <c r="A147" s="973"/>
      <c r="B147" s="1045"/>
      <c r="C147" s="1045"/>
      <c r="D147" s="887"/>
      <c r="E147" s="887"/>
      <c r="F147" s="887"/>
      <c r="G147" s="887"/>
      <c r="H147" s="887"/>
      <c r="I147" s="887"/>
      <c r="J147" s="887"/>
      <c r="K147" s="887"/>
      <c r="L147" s="887"/>
      <c r="M147" s="887"/>
      <c r="N147" s="887"/>
      <c r="O147" s="887"/>
      <c r="P147" s="888"/>
      <c r="Q147" s="919" t="s">
        <v>56</v>
      </c>
      <c r="R147" s="922">
        <f>154.5-T130</f>
        <v>11.400000000000006</v>
      </c>
      <c r="S147" s="998"/>
      <c r="T147" s="997" t="s">
        <v>576</v>
      </c>
      <c r="U147" s="924">
        <f>205.1-136.7</f>
        <v>68.400000000000006</v>
      </c>
      <c r="V147" s="1006"/>
      <c r="W147" s="996" t="s">
        <v>677</v>
      </c>
      <c r="X147" s="922">
        <f>272-195.8</f>
        <v>76.199999999999989</v>
      </c>
      <c r="Y147" s="998"/>
      <c r="Z147" s="998" t="s">
        <v>700</v>
      </c>
      <c r="AA147" s="1104">
        <f>195.7-5</f>
        <v>190.7</v>
      </c>
      <c r="AB147" s="1006" t="s">
        <v>755</v>
      </c>
      <c r="AC147" s="996"/>
      <c r="AD147" s="1072">
        <v>72</v>
      </c>
      <c r="AE147" s="997"/>
      <c r="AF147" s="929" t="s">
        <v>56</v>
      </c>
      <c r="AG147" s="882"/>
    </row>
    <row r="148" spans="1:33" hidden="1" x14ac:dyDescent="0.25">
      <c r="A148" s="973"/>
      <c r="B148" s="1045"/>
      <c r="C148" s="1045"/>
      <c r="D148" s="887"/>
      <c r="E148" s="887"/>
      <c r="F148" s="887"/>
      <c r="G148" s="887"/>
      <c r="H148" s="887"/>
      <c r="I148" s="887"/>
      <c r="J148" s="887"/>
      <c r="K148" s="887"/>
      <c r="L148" s="887"/>
      <c r="M148" s="887"/>
      <c r="N148" s="887"/>
      <c r="O148" s="887"/>
      <c r="P148" s="888"/>
      <c r="Q148" s="933" t="s">
        <v>59</v>
      </c>
      <c r="R148" s="922">
        <f>280.6-177.8</f>
        <v>102.80000000000001</v>
      </c>
      <c r="S148" s="1003"/>
      <c r="T148" s="1002" t="s">
        <v>580</v>
      </c>
      <c r="U148" s="934">
        <f>192-196.4</f>
        <v>-4.4000000000000057</v>
      </c>
      <c r="V148" s="1009"/>
      <c r="W148" s="1001" t="s">
        <v>678</v>
      </c>
      <c r="X148" s="936">
        <f>215.2-207.7</f>
        <v>7.5</v>
      </c>
      <c r="Y148" s="1003"/>
      <c r="Z148" s="1003" t="s">
        <v>708</v>
      </c>
      <c r="AA148" s="1008">
        <v>58.1</v>
      </c>
      <c r="AB148" s="1106"/>
      <c r="AC148" s="1001"/>
      <c r="AD148" s="968">
        <v>42.9</v>
      </c>
      <c r="AE148" s="1002"/>
      <c r="AF148" s="939" t="s">
        <v>59</v>
      </c>
      <c r="AG148" s="882"/>
    </row>
    <row r="149" spans="1:33" hidden="1" x14ac:dyDescent="0.25">
      <c r="A149" s="973"/>
      <c r="B149" s="1045"/>
      <c r="C149" s="1045"/>
      <c r="D149" s="887"/>
      <c r="E149" s="887"/>
      <c r="F149" s="887"/>
      <c r="G149" s="887"/>
      <c r="H149" s="887"/>
      <c r="I149" s="887"/>
      <c r="J149" s="887"/>
      <c r="K149" s="887"/>
      <c r="L149" s="887"/>
      <c r="M149" s="887"/>
      <c r="N149" s="887"/>
      <c r="O149" s="887"/>
      <c r="P149" s="888"/>
      <c r="Q149" s="1010"/>
      <c r="R149" s="1016">
        <f>SUM(R137:R148)</f>
        <v>914.50000000000023</v>
      </c>
      <c r="S149" s="1017"/>
      <c r="T149" s="1044"/>
      <c r="U149" s="1016">
        <f>SUM(U137:U148)</f>
        <v>301.5</v>
      </c>
      <c r="V149" s="1017"/>
      <c r="W149" s="1044"/>
      <c r="X149" s="1016">
        <f>SUM(X137:X148)</f>
        <v>859.8</v>
      </c>
      <c r="Y149" s="1017"/>
      <c r="Z149" s="1017"/>
      <c r="AA149" s="942">
        <f>SUM(AA137:AA148)</f>
        <v>404.1</v>
      </c>
      <c r="AB149" s="1013"/>
      <c r="AC149" s="1013"/>
      <c r="AD149" s="1013">
        <f>SUM(AD137:AD148)</f>
        <v>1187.7</v>
      </c>
      <c r="AE149" s="943"/>
      <c r="AF149" s="1014"/>
      <c r="AG149" s="882"/>
    </row>
    <row r="150" spans="1:33" hidden="1" x14ac:dyDescent="0.25">
      <c r="A150" s="973"/>
      <c r="B150" s="1045"/>
      <c r="C150" s="1045"/>
      <c r="D150" s="887"/>
      <c r="E150" s="887"/>
      <c r="F150" s="887"/>
      <c r="G150" s="887"/>
      <c r="H150" s="887"/>
      <c r="I150" s="887"/>
      <c r="J150" s="887"/>
      <c r="K150" s="887"/>
      <c r="L150" s="887"/>
      <c r="M150" s="887"/>
      <c r="N150" s="887"/>
      <c r="O150" s="887"/>
      <c r="P150" s="888"/>
      <c r="Q150" s="1024" t="s">
        <v>4</v>
      </c>
      <c r="R150" s="1027"/>
      <c r="S150" s="1027"/>
      <c r="T150" s="1027"/>
      <c r="U150" s="1027"/>
      <c r="V150" s="1027"/>
      <c r="W150" s="1027"/>
      <c r="X150" s="1027"/>
      <c r="Y150" s="1027"/>
      <c r="Z150" s="1027"/>
      <c r="AA150" s="1027"/>
      <c r="AB150" s="1027"/>
      <c r="AC150" s="1027"/>
      <c r="AD150" s="1027"/>
      <c r="AE150" s="1027"/>
      <c r="AF150" s="1107" t="s">
        <v>4</v>
      </c>
      <c r="AG150" s="882"/>
    </row>
    <row r="151" spans="1:33" hidden="1" x14ac:dyDescent="0.25">
      <c r="A151" s="973"/>
      <c r="B151" s="1045"/>
      <c r="C151" s="1045"/>
      <c r="D151" s="887"/>
      <c r="E151" s="887"/>
      <c r="F151" s="887"/>
      <c r="G151" s="887"/>
      <c r="H151" s="887"/>
      <c r="I151" s="887"/>
      <c r="J151" s="887"/>
      <c r="K151" s="887"/>
      <c r="L151" s="887"/>
      <c r="M151" s="887"/>
      <c r="N151" s="887"/>
      <c r="O151" s="887"/>
      <c r="P151" s="888"/>
      <c r="Q151" s="1024"/>
      <c r="R151" s="1027"/>
      <c r="S151" s="1027"/>
      <c r="T151" s="1027"/>
      <c r="U151" s="1027"/>
      <c r="V151" s="1027"/>
      <c r="W151" s="1027"/>
      <c r="X151" s="1027"/>
      <c r="Y151" s="1027"/>
      <c r="Z151" s="1027"/>
      <c r="AA151" s="1027"/>
      <c r="AB151" s="1027"/>
      <c r="AC151" s="1027"/>
      <c r="AD151" s="1027"/>
      <c r="AE151" s="1027"/>
      <c r="AF151" s="1107"/>
      <c r="AG151" s="882"/>
    </row>
    <row r="152" spans="1:33" hidden="1" x14ac:dyDescent="0.25">
      <c r="A152" s="973"/>
      <c r="B152" s="1045"/>
      <c r="C152" s="1045"/>
      <c r="D152" s="887"/>
      <c r="E152" s="887"/>
      <c r="F152" s="887"/>
      <c r="G152" s="887"/>
      <c r="H152" s="887"/>
      <c r="I152" s="887"/>
      <c r="J152" s="887"/>
      <c r="K152" s="887"/>
      <c r="L152" s="887"/>
      <c r="M152" s="887"/>
      <c r="N152" s="887"/>
      <c r="O152" s="887"/>
      <c r="P152" s="888"/>
      <c r="Q152" s="879"/>
      <c r="R152" s="898" t="s">
        <v>30</v>
      </c>
      <c r="S152" s="1216"/>
      <c r="T152" s="1216"/>
      <c r="U152" s="898" t="s">
        <v>30</v>
      </c>
      <c r="V152" s="1025"/>
      <c r="W152" s="1025"/>
      <c r="X152" s="898" t="s">
        <v>30</v>
      </c>
      <c r="Y152" s="1216"/>
      <c r="Z152" s="1216"/>
      <c r="AA152" s="898" t="s">
        <v>30</v>
      </c>
      <c r="AB152" s="898"/>
      <c r="AC152" s="898"/>
      <c r="AD152" s="1025"/>
      <c r="AE152" s="1025"/>
      <c r="AF152" s="1108"/>
      <c r="AG152" s="882"/>
    </row>
    <row r="153" spans="1:33" hidden="1" x14ac:dyDescent="0.25">
      <c r="A153" s="973"/>
      <c r="B153" s="1045"/>
      <c r="C153" s="1045"/>
      <c r="D153" s="887"/>
      <c r="E153" s="887"/>
      <c r="F153" s="887"/>
      <c r="G153" s="887"/>
      <c r="H153" s="887"/>
      <c r="I153" s="887"/>
      <c r="J153" s="887"/>
      <c r="K153" s="887"/>
      <c r="L153" s="887"/>
      <c r="M153" s="887"/>
      <c r="N153" s="887"/>
      <c r="O153" s="887"/>
      <c r="P153" s="888"/>
      <c r="Q153" s="983"/>
      <c r="R153" s="1667">
        <v>2004</v>
      </c>
      <c r="S153" s="1668"/>
      <c r="T153" s="1669"/>
      <c r="U153" s="1670" t="s">
        <v>538</v>
      </c>
      <c r="V153" s="1670"/>
      <c r="W153" s="1671"/>
      <c r="X153" s="1671" t="s">
        <v>610</v>
      </c>
      <c r="Y153" s="1672"/>
      <c r="Z153" s="1673"/>
      <c r="AA153" s="1671" t="s">
        <v>704</v>
      </c>
      <c r="AB153" s="1672"/>
      <c r="AC153" s="1673"/>
      <c r="AD153" s="1671" t="s">
        <v>1059</v>
      </c>
      <c r="AE153" s="1673"/>
      <c r="AF153" s="1101"/>
      <c r="AG153" s="882"/>
    </row>
    <row r="154" spans="1:33" hidden="1" x14ac:dyDescent="0.25">
      <c r="A154" s="973"/>
      <c r="B154" s="1045"/>
      <c r="C154" s="1045"/>
      <c r="D154" s="887"/>
      <c r="E154" s="887"/>
      <c r="F154" s="887"/>
      <c r="G154" s="887"/>
      <c r="H154" s="887"/>
      <c r="I154" s="887"/>
      <c r="J154" s="887"/>
      <c r="K154" s="887"/>
      <c r="L154" s="887"/>
      <c r="M154" s="887"/>
      <c r="N154" s="887"/>
      <c r="O154" s="887"/>
      <c r="P154" s="888"/>
      <c r="Q154" s="919" t="s">
        <v>54</v>
      </c>
      <c r="R154" s="927">
        <f t="shared" ref="R154:R165" si="26">R120+T120+R137</f>
        <v>145.80000000000001</v>
      </c>
      <c r="S154" s="1032"/>
      <c r="T154" s="928"/>
      <c r="U154" s="924">
        <f t="shared" ref="U154:U165" si="27">U120+W120+U137</f>
        <v>65</v>
      </c>
      <c r="V154" s="931"/>
      <c r="W154" s="931"/>
      <c r="X154" s="922">
        <f t="shared" ref="X154:X165" si="28">X120+Z120+X137</f>
        <v>145.69999999999999</v>
      </c>
      <c r="Y154" s="930"/>
      <c r="Z154" s="923"/>
      <c r="AA154" s="924">
        <f>AA120+AC120+AA137</f>
        <v>246.5</v>
      </c>
      <c r="AB154" s="931"/>
      <c r="AC154" s="921"/>
      <c r="AD154" s="922">
        <f t="shared" ref="AD154:AD165" si="29">AD120+AE120+AD137</f>
        <v>91</v>
      </c>
      <c r="AE154" s="925"/>
      <c r="AF154" s="929" t="s">
        <v>54</v>
      </c>
      <c r="AG154" s="882"/>
    </row>
    <row r="155" spans="1:33" hidden="1" x14ac:dyDescent="0.25">
      <c r="A155" s="973"/>
      <c r="B155" s="1045"/>
      <c r="C155" s="1045"/>
      <c r="D155" s="887"/>
      <c r="E155" s="887"/>
      <c r="F155" s="887"/>
      <c r="G155" s="887"/>
      <c r="H155" s="887"/>
      <c r="I155" s="887"/>
      <c r="J155" s="887"/>
      <c r="K155" s="887"/>
      <c r="L155" s="887"/>
      <c r="M155" s="887"/>
      <c r="N155" s="887"/>
      <c r="O155" s="887"/>
      <c r="P155" s="888"/>
      <c r="Q155" s="919" t="s">
        <v>55</v>
      </c>
      <c r="R155" s="922">
        <f t="shared" si="26"/>
        <v>122.8</v>
      </c>
      <c r="S155" s="930"/>
      <c r="T155" s="923"/>
      <c r="U155" s="924">
        <f t="shared" si="27"/>
        <v>58.899999999999991</v>
      </c>
      <c r="V155" s="931"/>
      <c r="W155" s="931"/>
      <c r="X155" s="922">
        <f t="shared" si="28"/>
        <v>188.10000000000002</v>
      </c>
      <c r="Y155" s="930"/>
      <c r="Z155" s="923"/>
      <c r="AA155" s="924">
        <f>AA121+AC121+AA138</f>
        <v>81.099999999999994</v>
      </c>
      <c r="AB155" s="931"/>
      <c r="AC155" s="925"/>
      <c r="AD155" s="922">
        <f t="shared" si="29"/>
        <v>95.2</v>
      </c>
      <c r="AE155" s="925"/>
      <c r="AF155" s="929" t="s">
        <v>55</v>
      </c>
      <c r="AG155" s="882"/>
    </row>
    <row r="156" spans="1:33" hidden="1" x14ac:dyDescent="0.25">
      <c r="A156" s="973"/>
      <c r="B156" s="1045"/>
      <c r="C156" s="1045"/>
      <c r="D156" s="887"/>
      <c r="E156" s="887"/>
      <c r="F156" s="887"/>
      <c r="G156" s="887"/>
      <c r="H156" s="887"/>
      <c r="I156" s="887"/>
      <c r="J156" s="887"/>
      <c r="K156" s="887"/>
      <c r="L156" s="887"/>
      <c r="M156" s="887"/>
      <c r="N156" s="887"/>
      <c r="O156" s="887"/>
      <c r="P156" s="888"/>
      <c r="Q156" s="919" t="s">
        <v>58</v>
      </c>
      <c r="R156" s="922">
        <f t="shared" si="26"/>
        <v>192.3</v>
      </c>
      <c r="S156" s="930"/>
      <c r="T156" s="923"/>
      <c r="U156" s="924">
        <f t="shared" si="27"/>
        <v>75.800000000000011</v>
      </c>
      <c r="V156" s="931"/>
      <c r="W156" s="931"/>
      <c r="X156" s="922">
        <f t="shared" si="28"/>
        <v>61.9</v>
      </c>
      <c r="Y156" s="930"/>
      <c r="Z156" s="923"/>
      <c r="AA156" s="924">
        <f>AA122+AC122+AA139</f>
        <v>239.10000000000002</v>
      </c>
      <c r="AB156" s="931"/>
      <c r="AC156" s="925"/>
      <c r="AD156" s="922">
        <f t="shared" si="29"/>
        <v>284.7</v>
      </c>
      <c r="AE156" s="925"/>
      <c r="AF156" s="929" t="s">
        <v>58</v>
      </c>
      <c r="AG156" s="882"/>
    </row>
    <row r="157" spans="1:33" hidden="1" x14ac:dyDescent="0.25">
      <c r="A157" s="973"/>
      <c r="B157" s="1045"/>
      <c r="C157" s="1045"/>
      <c r="D157" s="887"/>
      <c r="E157" s="887"/>
      <c r="F157" s="887"/>
      <c r="G157" s="887"/>
      <c r="H157" s="887"/>
      <c r="I157" s="887"/>
      <c r="J157" s="887"/>
      <c r="K157" s="887"/>
      <c r="L157" s="887"/>
      <c r="M157" s="887"/>
      <c r="N157" s="887"/>
      <c r="O157" s="887"/>
      <c r="P157" s="888"/>
      <c r="Q157" s="919" t="s">
        <v>61</v>
      </c>
      <c r="R157" s="922">
        <f t="shared" si="26"/>
        <v>290.3</v>
      </c>
      <c r="S157" s="930"/>
      <c r="T157" s="923"/>
      <c r="U157" s="924">
        <f t="shared" si="27"/>
        <v>222.3</v>
      </c>
      <c r="V157" s="931"/>
      <c r="W157" s="931"/>
      <c r="X157" s="922">
        <f t="shared" si="28"/>
        <v>89.600000000000009</v>
      </c>
      <c r="Y157" s="930"/>
      <c r="Z157" s="923"/>
      <c r="AA157" s="924">
        <f t="shared" ref="AA157:AA165" si="30">AA123+AB123+AA140</f>
        <v>228.3</v>
      </c>
      <c r="AB157" s="931"/>
      <c r="AC157" s="925"/>
      <c r="AD157" s="922">
        <f t="shared" si="29"/>
        <v>380.3</v>
      </c>
      <c r="AE157" s="925"/>
      <c r="AF157" s="929" t="s">
        <v>61</v>
      </c>
      <c r="AG157" s="882"/>
    </row>
    <row r="158" spans="1:33" hidden="1" x14ac:dyDescent="0.25">
      <c r="A158" s="973"/>
      <c r="B158" s="1045"/>
      <c r="C158" s="1045"/>
      <c r="D158" s="887"/>
      <c r="E158" s="887"/>
      <c r="F158" s="887"/>
      <c r="G158" s="887"/>
      <c r="H158" s="887"/>
      <c r="I158" s="887"/>
      <c r="J158" s="887"/>
      <c r="K158" s="887"/>
      <c r="L158" s="887"/>
      <c r="M158" s="887"/>
      <c r="N158" s="887"/>
      <c r="O158" s="887"/>
      <c r="P158" s="888"/>
      <c r="Q158" s="919" t="s">
        <v>63</v>
      </c>
      <c r="R158" s="922">
        <f t="shared" si="26"/>
        <v>364.5</v>
      </c>
      <c r="S158" s="930"/>
      <c r="T158" s="923"/>
      <c r="U158" s="924">
        <f t="shared" si="27"/>
        <v>302.80000000000007</v>
      </c>
      <c r="V158" s="931"/>
      <c r="W158" s="931"/>
      <c r="X158" s="922">
        <f t="shared" si="28"/>
        <v>210</v>
      </c>
      <c r="Y158" s="930"/>
      <c r="Z158" s="923"/>
      <c r="AA158" s="924">
        <f t="shared" si="30"/>
        <v>333.9</v>
      </c>
      <c r="AB158" s="931"/>
      <c r="AC158" s="925"/>
      <c r="AD158" s="922">
        <f t="shared" si="29"/>
        <v>380.1</v>
      </c>
      <c r="AE158" s="925"/>
      <c r="AF158" s="929" t="s">
        <v>63</v>
      </c>
      <c r="AG158" s="882"/>
    </row>
    <row r="159" spans="1:33" hidden="1" x14ac:dyDescent="0.25">
      <c r="A159" s="973"/>
      <c r="B159" s="1045"/>
      <c r="C159" s="1045"/>
      <c r="D159" s="887"/>
      <c r="E159" s="887"/>
      <c r="F159" s="887"/>
      <c r="G159" s="887"/>
      <c r="H159" s="887"/>
      <c r="I159" s="887"/>
      <c r="J159" s="887"/>
      <c r="K159" s="887"/>
      <c r="L159" s="887"/>
      <c r="M159" s="887"/>
      <c r="N159" s="887"/>
      <c r="O159" s="887"/>
      <c r="P159" s="888"/>
      <c r="Q159" s="933" t="s">
        <v>65</v>
      </c>
      <c r="R159" s="936">
        <f t="shared" si="26"/>
        <v>325.20000000000005</v>
      </c>
      <c r="S159" s="940"/>
      <c r="T159" s="937"/>
      <c r="U159" s="934">
        <f t="shared" si="27"/>
        <v>337.9</v>
      </c>
      <c r="V159" s="938"/>
      <c r="W159" s="938"/>
      <c r="X159" s="922">
        <f t="shared" si="28"/>
        <v>308.60000000000002</v>
      </c>
      <c r="Y159" s="930"/>
      <c r="Z159" s="923"/>
      <c r="AA159" s="934">
        <f t="shared" si="30"/>
        <v>377.2</v>
      </c>
      <c r="AB159" s="938"/>
      <c r="AC159" s="935"/>
      <c r="AD159" s="936">
        <f t="shared" si="29"/>
        <v>449.8</v>
      </c>
      <c r="AE159" s="935"/>
      <c r="AF159" s="939" t="s">
        <v>65</v>
      </c>
      <c r="AG159" s="882"/>
    </row>
    <row r="160" spans="1:33" hidden="1" x14ac:dyDescent="0.25">
      <c r="A160" s="973"/>
      <c r="B160" s="1045"/>
      <c r="C160" s="1045"/>
      <c r="D160" s="887"/>
      <c r="E160" s="887"/>
      <c r="F160" s="887"/>
      <c r="G160" s="887"/>
      <c r="H160" s="887"/>
      <c r="I160" s="887"/>
      <c r="J160" s="887"/>
      <c r="K160" s="887"/>
      <c r="L160" s="887"/>
      <c r="M160" s="887"/>
      <c r="N160" s="887"/>
      <c r="O160" s="887"/>
      <c r="P160" s="888"/>
      <c r="Q160" s="919" t="s">
        <v>67</v>
      </c>
      <c r="R160" s="922">
        <f t="shared" si="26"/>
        <v>394.3</v>
      </c>
      <c r="S160" s="930"/>
      <c r="T160" s="923"/>
      <c r="U160" s="924">
        <f t="shared" si="27"/>
        <v>409.2</v>
      </c>
      <c r="V160" s="931"/>
      <c r="W160" s="931"/>
      <c r="X160" s="927">
        <f t="shared" si="28"/>
        <v>395.19999999999993</v>
      </c>
      <c r="Y160" s="1032"/>
      <c r="Z160" s="928"/>
      <c r="AA160" s="920">
        <f t="shared" si="30"/>
        <v>427.70000000000005</v>
      </c>
      <c r="AB160" s="926"/>
      <c r="AC160" s="921"/>
      <c r="AD160" s="922">
        <f t="shared" si="29"/>
        <v>413.2</v>
      </c>
      <c r="AE160" s="921"/>
      <c r="AF160" s="929" t="s">
        <v>67</v>
      </c>
      <c r="AG160" s="882"/>
    </row>
    <row r="161" spans="1:34" hidden="1" x14ac:dyDescent="0.25">
      <c r="A161" s="973"/>
      <c r="B161" s="1045"/>
      <c r="C161" s="1045"/>
      <c r="D161" s="887"/>
      <c r="E161" s="887"/>
      <c r="F161" s="887"/>
      <c r="G161" s="887"/>
      <c r="H161" s="887"/>
      <c r="I161" s="887"/>
      <c r="J161" s="887"/>
      <c r="K161" s="887"/>
      <c r="L161" s="887"/>
      <c r="M161" s="887"/>
      <c r="N161" s="887"/>
      <c r="O161" s="887"/>
      <c r="P161" s="888"/>
      <c r="Q161" s="919" t="s">
        <v>62</v>
      </c>
      <c r="R161" s="922">
        <f t="shared" si="26"/>
        <v>389.8</v>
      </c>
      <c r="S161" s="930"/>
      <c r="T161" s="923"/>
      <c r="U161" s="924">
        <f t="shared" si="27"/>
        <v>385.8</v>
      </c>
      <c r="V161" s="931"/>
      <c r="W161" s="931"/>
      <c r="X161" s="922">
        <f t="shared" si="28"/>
        <v>374</v>
      </c>
      <c r="Y161" s="930"/>
      <c r="Z161" s="923"/>
      <c r="AA161" s="924">
        <f t="shared" si="30"/>
        <v>428.8</v>
      </c>
      <c r="AB161" s="931"/>
      <c r="AC161" s="925"/>
      <c r="AD161" s="922">
        <f t="shared" si="29"/>
        <v>395.1</v>
      </c>
      <c r="AE161" s="925"/>
      <c r="AF161" s="929" t="s">
        <v>62</v>
      </c>
      <c r="AG161" s="882"/>
    </row>
    <row r="162" spans="1:34" hidden="1" x14ac:dyDescent="0.25">
      <c r="A162" s="973"/>
      <c r="B162" s="1045"/>
      <c r="C162" s="1045"/>
      <c r="D162" s="887"/>
      <c r="E162" s="887"/>
      <c r="F162" s="887"/>
      <c r="G162" s="887"/>
      <c r="H162" s="887"/>
      <c r="I162" s="887"/>
      <c r="J162" s="887"/>
      <c r="K162" s="887"/>
      <c r="L162" s="887"/>
      <c r="M162" s="887"/>
      <c r="N162" s="887"/>
      <c r="O162" s="887"/>
      <c r="P162" s="888"/>
      <c r="Q162" s="919" t="s">
        <v>64</v>
      </c>
      <c r="R162" s="922">
        <f t="shared" si="26"/>
        <v>368.9</v>
      </c>
      <c r="S162" s="930"/>
      <c r="T162" s="923"/>
      <c r="U162" s="924">
        <f t="shared" si="27"/>
        <v>370.09999999999997</v>
      </c>
      <c r="V162" s="931"/>
      <c r="W162" s="931"/>
      <c r="X162" s="922">
        <f t="shared" si="28"/>
        <v>331.2</v>
      </c>
      <c r="Y162" s="930"/>
      <c r="Z162" s="923"/>
      <c r="AA162" s="924">
        <f t="shared" si="30"/>
        <v>386.8</v>
      </c>
      <c r="AB162" s="931"/>
      <c r="AC162" s="925"/>
      <c r="AD162" s="922">
        <f t="shared" si="29"/>
        <v>364.4</v>
      </c>
      <c r="AE162" s="925"/>
      <c r="AF162" s="929" t="s">
        <v>64</v>
      </c>
      <c r="AG162" s="882"/>
    </row>
    <row r="163" spans="1:34" hidden="1" x14ac:dyDescent="0.25">
      <c r="A163" s="973"/>
      <c r="B163" s="1045"/>
      <c r="C163" s="1045"/>
      <c r="D163" s="887"/>
      <c r="E163" s="887"/>
      <c r="F163" s="887"/>
      <c r="G163" s="887"/>
      <c r="H163" s="887"/>
      <c r="I163" s="887"/>
      <c r="J163" s="887"/>
      <c r="K163" s="887"/>
      <c r="L163" s="887"/>
      <c r="M163" s="887"/>
      <c r="N163" s="887"/>
      <c r="O163" s="887"/>
      <c r="P163" s="888"/>
      <c r="Q163" s="919" t="s">
        <v>66</v>
      </c>
      <c r="R163" s="922">
        <f t="shared" si="26"/>
        <v>194.7</v>
      </c>
      <c r="S163" s="952"/>
      <c r="T163" s="945"/>
      <c r="U163" s="924">
        <f t="shared" si="27"/>
        <v>266.5</v>
      </c>
      <c r="V163" s="953"/>
      <c r="W163" s="953"/>
      <c r="X163" s="922">
        <f t="shared" si="28"/>
        <v>315.60000000000002</v>
      </c>
      <c r="Y163" s="952"/>
      <c r="Z163" s="945"/>
      <c r="AA163" s="924">
        <f t="shared" si="30"/>
        <v>381.6</v>
      </c>
      <c r="AB163" s="931"/>
      <c r="AC163" s="925"/>
      <c r="AD163" s="922">
        <f t="shared" si="29"/>
        <v>401.6</v>
      </c>
      <c r="AE163" s="947"/>
      <c r="AF163" s="929" t="s">
        <v>66</v>
      </c>
      <c r="AG163" s="882"/>
    </row>
    <row r="164" spans="1:34" hidden="1" x14ac:dyDescent="0.25">
      <c r="A164" s="973"/>
      <c r="B164" s="1045"/>
      <c r="C164" s="1045"/>
      <c r="D164" s="887"/>
      <c r="E164" s="887"/>
      <c r="F164" s="887"/>
      <c r="G164" s="887"/>
      <c r="H164" s="887"/>
      <c r="I164" s="887"/>
      <c r="J164" s="887"/>
      <c r="K164" s="887"/>
      <c r="L164" s="887"/>
      <c r="M164" s="887"/>
      <c r="N164" s="887"/>
      <c r="O164" s="887"/>
      <c r="P164" s="888"/>
      <c r="Q164" s="919" t="s">
        <v>56</v>
      </c>
      <c r="R164" s="922">
        <f t="shared" si="26"/>
        <v>156.6</v>
      </c>
      <c r="S164" s="1033"/>
      <c r="T164" s="1034"/>
      <c r="U164" s="924">
        <f t="shared" si="27"/>
        <v>238</v>
      </c>
      <c r="V164" s="1035"/>
      <c r="W164" s="1035"/>
      <c r="X164" s="922">
        <f t="shared" si="28"/>
        <v>286.39999999999998</v>
      </c>
      <c r="Y164" s="1033"/>
      <c r="Z164" s="1034"/>
      <c r="AA164" s="924">
        <f t="shared" si="30"/>
        <v>300.39999999999998</v>
      </c>
      <c r="AB164" s="931"/>
      <c r="AC164" s="925"/>
      <c r="AD164" s="922">
        <f t="shared" si="29"/>
        <v>228</v>
      </c>
      <c r="AE164" s="1036"/>
      <c r="AF164" s="929" t="s">
        <v>56</v>
      </c>
      <c r="AG164" s="882"/>
    </row>
    <row r="165" spans="1:34" hidden="1" x14ac:dyDescent="0.25">
      <c r="A165" s="973"/>
      <c r="B165" s="1045"/>
      <c r="C165" s="1045"/>
      <c r="D165" s="887"/>
      <c r="E165" s="887"/>
      <c r="F165" s="887"/>
      <c r="G165" s="887"/>
      <c r="H165" s="887"/>
      <c r="I165" s="887"/>
      <c r="J165" s="887"/>
      <c r="K165" s="887"/>
      <c r="L165" s="887"/>
      <c r="M165" s="887"/>
      <c r="N165" s="887"/>
      <c r="O165" s="887"/>
      <c r="P165" s="888"/>
      <c r="Q165" s="933" t="s">
        <v>59</v>
      </c>
      <c r="R165" s="936">
        <f t="shared" si="26"/>
        <v>282.8</v>
      </c>
      <c r="S165" s="1037"/>
      <c r="T165" s="1038"/>
      <c r="U165" s="934">
        <f t="shared" si="27"/>
        <v>202</v>
      </c>
      <c r="V165" s="1039"/>
      <c r="W165" s="1039"/>
      <c r="X165" s="936">
        <f t="shared" si="28"/>
        <v>217.7</v>
      </c>
      <c r="Y165" s="1037"/>
      <c r="Z165" s="1038"/>
      <c r="AA165" s="934">
        <f t="shared" si="30"/>
        <v>147.6</v>
      </c>
      <c r="AB165" s="938"/>
      <c r="AC165" s="935"/>
      <c r="AD165" s="936">
        <f t="shared" si="29"/>
        <v>105.6</v>
      </c>
      <c r="AE165" s="1040"/>
      <c r="AF165" s="939" t="s">
        <v>59</v>
      </c>
      <c r="AG165" s="882"/>
    </row>
    <row r="166" spans="1:34" hidden="1" x14ac:dyDescent="0.25">
      <c r="A166" s="973"/>
      <c r="B166" s="1045"/>
      <c r="C166" s="1045"/>
      <c r="D166" s="887"/>
      <c r="E166" s="887"/>
      <c r="F166" s="887"/>
      <c r="G166" s="887"/>
      <c r="H166" s="887"/>
      <c r="I166" s="887"/>
      <c r="J166" s="887"/>
      <c r="K166" s="887"/>
      <c r="L166" s="887"/>
      <c r="M166" s="887"/>
      <c r="N166" s="887"/>
      <c r="O166" s="887"/>
      <c r="P166" s="888"/>
      <c r="Q166" s="948"/>
      <c r="R166" s="1016">
        <f>SUM(R154:R165)</f>
        <v>3228</v>
      </c>
      <c r="S166" s="1017"/>
      <c r="T166" s="1044"/>
      <c r="U166" s="1016">
        <f>SUM(U154:U165)</f>
        <v>2934.3</v>
      </c>
      <c r="V166" s="1017"/>
      <c r="W166" s="1017"/>
      <c r="X166" s="1016">
        <f>SUM(X154:X165)</f>
        <v>2923.9999999999995</v>
      </c>
      <c r="Y166" s="1017"/>
      <c r="Z166" s="1044"/>
      <c r="AA166" s="942">
        <f>SUM(AA154:AA165)</f>
        <v>3579.0000000000005</v>
      </c>
      <c r="AB166" s="1013"/>
      <c r="AC166" s="943"/>
      <c r="AD166" s="1013">
        <f>SUM(AD154:AD165)</f>
        <v>3589</v>
      </c>
      <c r="AE166" s="943"/>
      <c r="AF166" s="947"/>
      <c r="AG166" s="882"/>
    </row>
    <row r="167" spans="1:34" hidden="1" x14ac:dyDescent="0.25">
      <c r="A167" s="973"/>
      <c r="B167" s="1045"/>
      <c r="C167" s="1045"/>
      <c r="D167" s="887"/>
      <c r="E167" s="887"/>
      <c r="F167" s="887"/>
      <c r="G167" s="887"/>
      <c r="H167" s="887"/>
      <c r="I167" s="887"/>
      <c r="J167" s="887"/>
      <c r="K167" s="887"/>
      <c r="L167" s="887"/>
      <c r="M167" s="887"/>
      <c r="N167" s="887"/>
      <c r="O167" s="887"/>
      <c r="P167" s="888"/>
      <c r="Q167" s="882"/>
      <c r="R167" s="887"/>
      <c r="S167" s="887"/>
      <c r="T167" s="887"/>
      <c r="U167" s="887"/>
      <c r="V167" s="887"/>
      <c r="W167" s="887"/>
      <c r="X167" s="887"/>
      <c r="Y167" s="887"/>
      <c r="Z167" s="887"/>
      <c r="AA167" s="887"/>
      <c r="AB167" s="887"/>
      <c r="AC167" s="887"/>
      <c r="AD167" s="887"/>
      <c r="AE167" s="887"/>
      <c r="AF167" s="888"/>
      <c r="AG167" s="882"/>
    </row>
    <row r="168" spans="1:34" ht="16.5" hidden="1" thickBot="1" x14ac:dyDescent="0.3">
      <c r="A168" s="973"/>
      <c r="B168" s="1045"/>
      <c r="C168" s="1045"/>
      <c r="D168" s="887"/>
      <c r="E168" s="887"/>
      <c r="F168" s="887"/>
      <c r="G168" s="887"/>
      <c r="H168" s="887"/>
      <c r="I168" s="887"/>
      <c r="J168" s="1173"/>
      <c r="K168" s="887"/>
      <c r="L168" s="887"/>
      <c r="M168" s="887"/>
      <c r="N168" s="887"/>
      <c r="O168" s="887"/>
      <c r="P168" s="888"/>
      <c r="Q168" s="882"/>
      <c r="R168" s="887"/>
      <c r="S168" s="887"/>
      <c r="T168" s="887"/>
      <c r="U168" s="887"/>
      <c r="V168" s="887"/>
      <c r="W168" s="887"/>
      <c r="X168" s="887"/>
      <c r="Y168" s="887"/>
      <c r="Z168" s="887"/>
      <c r="AA168" s="1173"/>
      <c r="AB168" s="1173"/>
      <c r="AC168" s="1173"/>
      <c r="AD168" s="887"/>
      <c r="AE168" s="887"/>
      <c r="AF168" s="888"/>
      <c r="AG168" s="882"/>
    </row>
    <row r="169" spans="1:34" ht="21" thickTop="1" x14ac:dyDescent="0.3">
      <c r="A169" s="1109"/>
      <c r="B169" s="1110"/>
      <c r="C169" s="1110"/>
      <c r="D169" s="1110"/>
      <c r="E169" s="1110"/>
      <c r="F169" s="1111" t="s">
        <v>47</v>
      </c>
      <c r="G169" s="1112"/>
      <c r="H169" s="1110"/>
      <c r="I169" s="1110"/>
      <c r="J169" s="1281"/>
      <c r="K169" s="1655" t="s">
        <v>1005</v>
      </c>
      <c r="L169" s="1657"/>
      <c r="M169" s="1658"/>
      <c r="N169" s="1341" t="s">
        <v>494</v>
      </c>
      <c r="O169" s="1655" t="s">
        <v>709</v>
      </c>
      <c r="P169" s="1656"/>
      <c r="Q169" s="1349"/>
      <c r="R169" s="1112"/>
      <c r="S169" s="1112"/>
      <c r="T169" s="1112"/>
      <c r="U169" s="1112"/>
      <c r="V169" s="1111" t="s">
        <v>47</v>
      </c>
      <c r="W169" s="1112"/>
      <c r="X169" s="1112"/>
      <c r="Y169" s="1112"/>
      <c r="Z169" s="1281"/>
      <c r="AA169" s="1655" t="s">
        <v>1005</v>
      </c>
      <c r="AB169" s="1657"/>
      <c r="AC169" s="1658"/>
      <c r="AD169" s="1341" t="s">
        <v>494</v>
      </c>
      <c r="AE169" s="1655" t="s">
        <v>709</v>
      </c>
      <c r="AF169" s="1656"/>
      <c r="AG169" s="887"/>
    </row>
    <row r="170" spans="1:34" ht="20.25" x14ac:dyDescent="0.3">
      <c r="A170" s="1113"/>
      <c r="B170" s="1114"/>
      <c r="C170" s="1114"/>
      <c r="D170" s="1114"/>
      <c r="E170" s="1114"/>
      <c r="F170" s="1342" t="s">
        <v>49</v>
      </c>
      <c r="G170" s="887"/>
      <c r="H170" s="1114"/>
      <c r="I170" s="1114"/>
      <c r="J170" s="888"/>
      <c r="K170" s="1659" t="s">
        <v>1004</v>
      </c>
      <c r="L170" s="1660"/>
      <c r="M170" s="1345">
        <v>1756.1179999999999</v>
      </c>
      <c r="N170" s="1285">
        <f>M189</f>
        <v>1334.95</v>
      </c>
      <c r="O170" s="1116">
        <f>IF(1-N170/M170&gt;0, 1-N170/M170,0)</f>
        <v>0.23982898643485229</v>
      </c>
      <c r="P170" s="1425">
        <v>2019</v>
      </c>
      <c r="Q170" s="1168"/>
      <c r="R170" s="887"/>
      <c r="S170" s="887"/>
      <c r="T170" s="887"/>
      <c r="U170" s="887"/>
      <c r="V170" s="1342" t="s">
        <v>322</v>
      </c>
      <c r="W170" s="887"/>
      <c r="X170" s="887"/>
      <c r="Y170" s="887"/>
      <c r="Z170" s="887"/>
      <c r="AA170" s="1663" t="s">
        <v>1004</v>
      </c>
      <c r="AB170" s="1664"/>
      <c r="AC170" s="1440">
        <v>1844.1489999999999</v>
      </c>
      <c r="AD170" s="1115">
        <f>AB189</f>
        <v>1333.3</v>
      </c>
      <c r="AE170" s="1429">
        <f>IF(1-AD170/AC170&gt;0,1-AD170/AC170,0)</f>
        <v>0.27701069707491099</v>
      </c>
      <c r="AF170" s="1117">
        <v>2019</v>
      </c>
      <c r="AG170" s="887"/>
    </row>
    <row r="171" spans="1:34" ht="18" x14ac:dyDescent="0.25">
      <c r="A171" s="1113"/>
      <c r="B171" s="1114"/>
      <c r="C171" s="1114"/>
      <c r="D171" s="1114"/>
      <c r="E171" s="1114"/>
      <c r="F171" s="889">
        <f>'Prod Data'!$C$1</f>
        <v>43709</v>
      </c>
      <c r="G171" s="887"/>
      <c r="H171" s="1114"/>
      <c r="I171" s="1114"/>
      <c r="J171" s="888"/>
      <c r="K171" s="1661" t="s">
        <v>1267</v>
      </c>
      <c r="L171" s="1662"/>
      <c r="M171" s="1343">
        <v>878.05899999999997</v>
      </c>
      <c r="N171" s="1284">
        <f>SUM(M177:M182)</f>
        <v>623.70000000000005</v>
      </c>
      <c r="O171" s="1116">
        <f t="shared" ref="O171:O173" si="31">IF(1-N171/M171&gt;0, 1-N171/M171,0)</f>
        <v>0.2896832672975278</v>
      </c>
      <c r="P171" s="1443">
        <f t="shared" ref="P171:P173" si="32">SUM(M171-N171)</f>
        <v>254.35899999999992</v>
      </c>
      <c r="Q171" s="1168"/>
      <c r="R171" s="887"/>
      <c r="S171" s="887"/>
      <c r="T171" s="887"/>
      <c r="U171" s="887"/>
      <c r="V171" s="889">
        <f>'Prod Data'!$C$1</f>
        <v>43709</v>
      </c>
      <c r="W171" s="887"/>
      <c r="X171" s="887"/>
      <c r="Y171" s="887"/>
      <c r="Z171" s="887"/>
      <c r="AA171" s="1659" t="s">
        <v>1267</v>
      </c>
      <c r="AB171" s="1660"/>
      <c r="AC171" s="1344">
        <v>922.07500000000005</v>
      </c>
      <c r="AD171" s="1115">
        <f>SUM(AB177:AB182)</f>
        <v>627.6</v>
      </c>
      <c r="AE171" s="1430">
        <f t="shared" ref="AE171:AE172" si="33">IF(1-AD171/AC171&gt;0,1-AD171/AC171,0)</f>
        <v>0.31936122332782046</v>
      </c>
      <c r="AF171" s="1442">
        <f>SUM(AC171-AD171)</f>
        <v>294.47500000000002</v>
      </c>
      <c r="AG171" s="887"/>
    </row>
    <row r="172" spans="1:34" ht="18" x14ac:dyDescent="0.25">
      <c r="A172" s="1113"/>
      <c r="B172" s="1114"/>
      <c r="C172" s="1114"/>
      <c r="D172" s="1114"/>
      <c r="E172" s="1114"/>
      <c r="F172" s="889"/>
      <c r="G172" s="887"/>
      <c r="H172" s="1114"/>
      <c r="I172" s="1114"/>
      <c r="J172" s="888"/>
      <c r="K172" s="1665" t="s">
        <v>1268</v>
      </c>
      <c r="L172" s="1666"/>
      <c r="M172" s="1347">
        <v>878.05899999999997</v>
      </c>
      <c r="N172" s="1348">
        <f>SUM(M183:M188)</f>
        <v>711.25</v>
      </c>
      <c r="O172" s="1424">
        <f>IF(1-N172/M172&gt;0, 1-N172/M172,0)</f>
        <v>0.18997470557217677</v>
      </c>
      <c r="P172" s="1444">
        <f t="shared" si="32"/>
        <v>166.80899999999997</v>
      </c>
      <c r="Q172" s="1168"/>
      <c r="R172" s="887"/>
      <c r="S172" s="887"/>
      <c r="T172" s="887"/>
      <c r="U172" s="887"/>
      <c r="V172" s="889"/>
      <c r="W172" s="887"/>
      <c r="X172" s="887"/>
      <c r="Y172" s="887"/>
      <c r="Z172" s="887"/>
      <c r="AA172" s="1665" t="s">
        <v>1268</v>
      </c>
      <c r="AB172" s="1666"/>
      <c r="AC172" s="1346">
        <v>922.07500000000005</v>
      </c>
      <c r="AD172" s="1118">
        <f>SUM(AB183:AB188)</f>
        <v>705.7</v>
      </c>
      <c r="AE172" s="1431">
        <f t="shared" si="33"/>
        <v>0.23466095491147687</v>
      </c>
      <c r="AF172" s="1442">
        <f>SUM(AC172-AD172)</f>
        <v>216.375</v>
      </c>
      <c r="AG172" s="887"/>
    </row>
    <row r="173" spans="1:34" x14ac:dyDescent="0.25">
      <c r="A173" s="1113"/>
      <c r="B173" s="1114"/>
      <c r="C173" s="1114"/>
      <c r="D173" s="1114"/>
      <c r="E173" s="1114"/>
      <c r="F173" s="887"/>
      <c r="G173" s="887"/>
      <c r="H173" s="1114"/>
      <c r="I173" s="1114"/>
      <c r="J173" s="888"/>
      <c r="K173" s="1659" t="s">
        <v>418</v>
      </c>
      <c r="L173" s="1660"/>
      <c r="M173" s="1326">
        <f>'Prod Data'!$M$105</f>
        <v>10722.5</v>
      </c>
      <c r="N173" s="1115">
        <f>M206</f>
        <v>5070.2000000000007</v>
      </c>
      <c r="O173" s="1427">
        <f t="shared" si="31"/>
        <v>0.52714385637677774</v>
      </c>
      <c r="P173" s="1426">
        <f t="shared" si="32"/>
        <v>5652.2999999999993</v>
      </c>
      <c r="Q173" s="1168"/>
      <c r="R173" s="887"/>
      <c r="S173" s="887"/>
      <c r="T173" s="887"/>
      <c r="U173" s="887"/>
      <c r="V173" s="887"/>
      <c r="W173" s="887"/>
      <c r="X173" s="887"/>
      <c r="Y173" s="887"/>
      <c r="Z173" s="887"/>
      <c r="AA173" s="1659" t="s">
        <v>418</v>
      </c>
      <c r="AB173" s="1660"/>
      <c r="AC173" s="1330">
        <f>'Prod Data'!$M$106</f>
        <v>957.2</v>
      </c>
      <c r="AD173" s="1115">
        <f>AB206</f>
        <v>281.60000000000002</v>
      </c>
      <c r="AE173" s="1115">
        <f>IF(AD173&lt;AC173,AC173-AD173,0)</f>
        <v>675.6</v>
      </c>
      <c r="AF173" s="1282">
        <f t="shared" ref="AF173" si="34">SUM(AC173-AD173)</f>
        <v>675.6</v>
      </c>
      <c r="AG173" s="887"/>
      <c r="AH173" s="884"/>
    </row>
    <row r="174" spans="1:34" x14ac:dyDescent="0.25">
      <c r="A174" s="1113"/>
      <c r="B174" s="1114"/>
      <c r="C174" s="1114"/>
      <c r="D174" s="1114"/>
      <c r="E174" s="1114"/>
      <c r="F174" s="887"/>
      <c r="G174" s="887"/>
      <c r="H174" s="1114"/>
      <c r="I174" s="1114"/>
      <c r="J174" s="887"/>
      <c r="K174" s="1665" t="s">
        <v>869</v>
      </c>
      <c r="L174" s="1666"/>
      <c r="M174" s="1327"/>
      <c r="N174" s="1118">
        <f>'Tier I Avail'!$E$18</f>
        <v>0</v>
      </c>
      <c r="O174" s="1328"/>
      <c r="P174" s="1428"/>
      <c r="Q174" s="1168"/>
      <c r="R174" s="887"/>
      <c r="S174" s="887"/>
      <c r="T174" s="887"/>
      <c r="U174" s="887"/>
      <c r="V174" s="887"/>
      <c r="W174" s="887"/>
      <c r="X174" s="887"/>
      <c r="Y174" s="887"/>
      <c r="Z174" s="887"/>
      <c r="AA174" s="1665" t="s">
        <v>869</v>
      </c>
      <c r="AB174" s="1666"/>
      <c r="AC174" s="1329"/>
      <c r="AD174" s="1118">
        <f>'Tier I Avail'!$E$37</f>
        <v>0</v>
      </c>
      <c r="AE174" s="1118"/>
      <c r="AF174" s="1119"/>
      <c r="AG174" s="887"/>
      <c r="AH174" s="884"/>
    </row>
    <row r="175" spans="1:34" ht="18" x14ac:dyDescent="0.25">
      <c r="A175" s="1121"/>
      <c r="B175" s="1651" t="s">
        <v>874</v>
      </c>
      <c r="C175" s="1651"/>
      <c r="D175" s="1651"/>
      <c r="E175" s="1651"/>
      <c r="F175" s="1651"/>
      <c r="G175" s="1651"/>
      <c r="H175" s="1651"/>
      <c r="I175" s="1651"/>
      <c r="J175" s="1651"/>
      <c r="K175" s="1651"/>
      <c r="L175" s="1651"/>
      <c r="M175" s="1651"/>
      <c r="N175" s="887"/>
      <c r="O175" s="887"/>
      <c r="P175" s="1122"/>
      <c r="Q175" s="1350"/>
      <c r="R175" s="1652" t="s">
        <v>874</v>
      </c>
      <c r="S175" s="1652"/>
      <c r="T175" s="1652"/>
      <c r="U175" s="1652"/>
      <c r="V175" s="1652"/>
      <c r="W175" s="1652"/>
      <c r="X175" s="1652"/>
      <c r="Y175" s="1652"/>
      <c r="Z175" s="1652"/>
      <c r="AA175" s="1652"/>
      <c r="AB175" s="1652"/>
      <c r="AC175" s="1652"/>
      <c r="AD175" s="1123"/>
      <c r="AE175" s="1123"/>
      <c r="AF175" s="1124"/>
      <c r="AG175" s="887"/>
      <c r="AH175" s="884"/>
    </row>
    <row r="176" spans="1:34" ht="18" x14ac:dyDescent="0.25">
      <c r="A176" s="1125"/>
      <c r="B176" s="1029">
        <v>2008</v>
      </c>
      <c r="C176" s="1029">
        <v>2009</v>
      </c>
      <c r="D176" s="1029">
        <v>2010</v>
      </c>
      <c r="E176" s="1029">
        <v>2011</v>
      </c>
      <c r="F176" s="1029">
        <v>2012</v>
      </c>
      <c r="G176" s="979">
        <v>2013</v>
      </c>
      <c r="H176" s="1196">
        <v>2014</v>
      </c>
      <c r="I176" s="979">
        <v>2015</v>
      </c>
      <c r="J176" s="1196">
        <v>2016</v>
      </c>
      <c r="K176" s="911">
        <v>2017</v>
      </c>
      <c r="L176" s="1196">
        <v>2018</v>
      </c>
      <c r="M176" s="911">
        <v>2019</v>
      </c>
      <c r="N176" s="1029"/>
      <c r="O176" s="1651" t="s">
        <v>874</v>
      </c>
      <c r="P176" s="1653"/>
      <c r="Q176" s="1351"/>
      <c r="R176" s="1338" t="s">
        <v>1000</v>
      </c>
      <c r="S176" s="1177">
        <v>2010</v>
      </c>
      <c r="T176" s="1338" t="s">
        <v>1001</v>
      </c>
      <c r="U176" s="1176">
        <v>2012</v>
      </c>
      <c r="V176" s="1176">
        <v>2013</v>
      </c>
      <c r="W176" s="1197">
        <v>2014</v>
      </c>
      <c r="X176" s="1337">
        <v>2015</v>
      </c>
      <c r="Y176" s="1340" t="s">
        <v>1054</v>
      </c>
      <c r="Z176" s="1337">
        <v>2017</v>
      </c>
      <c r="AA176" s="1197">
        <v>2018</v>
      </c>
      <c r="AB176" s="1337">
        <v>2019</v>
      </c>
      <c r="AC176" s="1197">
        <v>2020</v>
      </c>
      <c r="AD176" s="1217"/>
      <c r="AE176" s="1651" t="s">
        <v>874</v>
      </c>
      <c r="AF176" s="1653"/>
      <c r="AG176" s="887"/>
      <c r="AH176" s="884"/>
    </row>
    <row r="177" spans="1:34" x14ac:dyDescent="0.25">
      <c r="A177" s="1126" t="s">
        <v>54</v>
      </c>
      <c r="B177" s="924">
        <v>30</v>
      </c>
      <c r="C177" s="920">
        <v>141.9</v>
      </c>
      <c r="D177" s="924">
        <v>129.4</v>
      </c>
      <c r="E177" s="920">
        <v>71.5</v>
      </c>
      <c r="F177" s="920">
        <v>218</v>
      </c>
      <c r="G177" s="1198">
        <v>168.2</v>
      </c>
      <c r="H177" s="1213">
        <v>301.8</v>
      </c>
      <c r="I177" s="1198">
        <v>73.5</v>
      </c>
      <c r="J177" s="1213">
        <v>61.9</v>
      </c>
      <c r="K177" s="921">
        <v>16.7</v>
      </c>
      <c r="L177" s="1213">
        <v>124.5</v>
      </c>
      <c r="M177" s="921">
        <v>57.8</v>
      </c>
      <c r="N177" s="1127" t="s">
        <v>54</v>
      </c>
      <c r="O177" s="886" t="s">
        <v>1067</v>
      </c>
      <c r="P177" s="1143">
        <f>SUM(B183:B188,C177:C182)</f>
        <v>2083.1000000000004</v>
      </c>
      <c r="Q177" s="1126" t="s">
        <v>54</v>
      </c>
      <c r="R177" s="1130">
        <v>113</v>
      </c>
      <c r="S177" s="1130">
        <v>86.4</v>
      </c>
      <c r="T177" s="1130">
        <v>102.4</v>
      </c>
      <c r="U177" s="1130">
        <v>172.7</v>
      </c>
      <c r="V177" s="1199">
        <v>139.69999999999999</v>
      </c>
      <c r="W177" s="1199">
        <v>162.80000000000001</v>
      </c>
      <c r="X177" s="1200">
        <v>130</v>
      </c>
      <c r="Y177" s="1136">
        <v>29.6</v>
      </c>
      <c r="Z177" s="893">
        <v>37.700000000000003</v>
      </c>
      <c r="AA177" s="1199">
        <v>104.9</v>
      </c>
      <c r="AB177" s="1213">
        <v>55.5</v>
      </c>
      <c r="AC177" s="1136"/>
      <c r="AD177" s="1133" t="s">
        <v>54</v>
      </c>
      <c r="AE177" s="1147" t="s">
        <v>1068</v>
      </c>
      <c r="AF177" s="1129">
        <f>SUM(R183:R188,S177:S182)</f>
        <v>1879.8000000000002</v>
      </c>
      <c r="AG177" s="887"/>
      <c r="AH177" s="884"/>
    </row>
    <row r="178" spans="1:34" x14ac:dyDescent="0.25">
      <c r="A178" s="1126" t="s">
        <v>55</v>
      </c>
      <c r="B178" s="924">
        <v>89.5</v>
      </c>
      <c r="C178" s="924">
        <v>97.9</v>
      </c>
      <c r="D178" s="924">
        <v>88.9</v>
      </c>
      <c r="E178" s="924">
        <v>60.8</v>
      </c>
      <c r="F178" s="924">
        <v>218.2</v>
      </c>
      <c r="G178" s="1200">
        <v>185</v>
      </c>
      <c r="H178" s="893">
        <v>175.4</v>
      </c>
      <c r="I178" s="1200">
        <v>84.7</v>
      </c>
      <c r="J178" s="1214">
        <v>123.3</v>
      </c>
      <c r="K178" s="925">
        <v>39.4</v>
      </c>
      <c r="L178" s="1214">
        <v>147.80000000000001</v>
      </c>
      <c r="M178" s="925">
        <v>35.9</v>
      </c>
      <c r="N178" s="975" t="s">
        <v>55</v>
      </c>
      <c r="O178" s="886" t="s">
        <v>1068</v>
      </c>
      <c r="P178" s="1143">
        <f>SUM(C183:C188,D177:D182)</f>
        <v>2165.0100000000002</v>
      </c>
      <c r="Q178" s="1126" t="s">
        <v>55</v>
      </c>
      <c r="R178" s="1134">
        <v>78</v>
      </c>
      <c r="S178" s="1134">
        <v>57.8</v>
      </c>
      <c r="T178" s="1134">
        <v>89.2</v>
      </c>
      <c r="U178" s="1134">
        <v>192.7</v>
      </c>
      <c r="V178" s="1201">
        <v>145.6</v>
      </c>
      <c r="W178" s="1201">
        <v>145.4</v>
      </c>
      <c r="X178" s="1214">
        <v>143.80000000000001</v>
      </c>
      <c r="Y178" s="1136">
        <v>108.4</v>
      </c>
      <c r="Z178" s="893">
        <v>40.200000000000003</v>
      </c>
      <c r="AA178" s="1201">
        <v>59.9</v>
      </c>
      <c r="AB178" s="1214">
        <v>41.9</v>
      </c>
      <c r="AC178" s="1136"/>
      <c r="AD178" s="1099" t="s">
        <v>55</v>
      </c>
      <c r="AE178" s="1147" t="s">
        <v>1069</v>
      </c>
      <c r="AF178" s="1129">
        <f>SUM(S183:S188,T177:T182)</f>
        <v>2286.2999999999997</v>
      </c>
      <c r="AG178" s="887"/>
      <c r="AH178" s="884"/>
    </row>
    <row r="179" spans="1:34" x14ac:dyDescent="0.25">
      <c r="A179" s="1126" t="s">
        <v>58</v>
      </c>
      <c r="B179" s="924">
        <v>179.04</v>
      </c>
      <c r="C179" s="924">
        <v>154.4</v>
      </c>
      <c r="D179" s="924">
        <v>145.1</v>
      </c>
      <c r="E179" s="924">
        <v>59.9</v>
      </c>
      <c r="F179" s="924">
        <v>176.1</v>
      </c>
      <c r="G179" s="1200">
        <v>238.3</v>
      </c>
      <c r="H179" s="893">
        <v>169.3</v>
      </c>
      <c r="I179" s="1200">
        <v>96.4</v>
      </c>
      <c r="J179" s="1214">
        <v>130.5</v>
      </c>
      <c r="K179" s="925">
        <v>125.67</v>
      </c>
      <c r="L179" s="1214">
        <v>63.3</v>
      </c>
      <c r="M179" s="925">
        <v>80.2</v>
      </c>
      <c r="N179" s="975" t="s">
        <v>58</v>
      </c>
      <c r="O179" s="885" t="s">
        <v>1069</v>
      </c>
      <c r="P179" s="1143">
        <f>SUM(D183:D188,E177:E182)</f>
        <v>1478.4999999999998</v>
      </c>
      <c r="Q179" s="1126" t="s">
        <v>58</v>
      </c>
      <c r="R179" s="1134">
        <v>169.1</v>
      </c>
      <c r="S179" s="1134">
        <v>104.7</v>
      </c>
      <c r="T179" s="1134">
        <v>87.1</v>
      </c>
      <c r="U179" s="1134">
        <v>153.6</v>
      </c>
      <c r="V179" s="1201">
        <v>198.9</v>
      </c>
      <c r="W179" s="1201">
        <v>125.1</v>
      </c>
      <c r="X179" s="1214">
        <v>201.3</v>
      </c>
      <c r="Y179" s="1136">
        <v>75.099999999999994</v>
      </c>
      <c r="Z179" s="893">
        <v>98.2</v>
      </c>
      <c r="AA179" s="1201">
        <v>27.7</v>
      </c>
      <c r="AB179" s="1214">
        <v>74.099999999999994</v>
      </c>
      <c r="AC179" s="1136"/>
      <c r="AD179" s="1099" t="s">
        <v>58</v>
      </c>
      <c r="AE179" s="1147" t="s">
        <v>1070</v>
      </c>
      <c r="AF179" s="1129">
        <f>SUM(T183:T188,U177:U182)</f>
        <v>2698.1000000000004</v>
      </c>
      <c r="AG179" s="887"/>
      <c r="AH179" s="884"/>
    </row>
    <row r="180" spans="1:34" x14ac:dyDescent="0.25">
      <c r="A180" s="1126" t="s">
        <v>61</v>
      </c>
      <c r="B180" s="924">
        <v>244</v>
      </c>
      <c r="C180" s="924">
        <v>228.7</v>
      </c>
      <c r="D180" s="924">
        <v>145.30000000000001</v>
      </c>
      <c r="E180" s="924">
        <v>116.8</v>
      </c>
      <c r="F180" s="924">
        <v>149.4</v>
      </c>
      <c r="G180" s="1200">
        <v>298.5</v>
      </c>
      <c r="H180" s="893">
        <v>261.5</v>
      </c>
      <c r="I180" s="1200">
        <v>120.5</v>
      </c>
      <c r="J180" s="1214">
        <v>181.5</v>
      </c>
      <c r="K180" s="925">
        <v>219.6</v>
      </c>
      <c r="L180" s="1214">
        <v>158.1</v>
      </c>
      <c r="M180" s="925">
        <v>145.30000000000001</v>
      </c>
      <c r="N180" s="975" t="s">
        <v>61</v>
      </c>
      <c r="O180" s="885" t="s">
        <v>1070</v>
      </c>
      <c r="P180" s="1143">
        <f>SUM(E183:E188,F177:F182)</f>
        <v>3084.2999999999997</v>
      </c>
      <c r="Q180" s="1126" t="s">
        <v>61</v>
      </c>
      <c r="R180" s="1134">
        <v>259.10000000000002</v>
      </c>
      <c r="S180" s="1134">
        <v>102</v>
      </c>
      <c r="T180" s="1134">
        <v>174.7</v>
      </c>
      <c r="U180" s="1134">
        <v>96.8</v>
      </c>
      <c r="V180" s="1201">
        <v>202.1</v>
      </c>
      <c r="W180" s="1201">
        <v>169.3</v>
      </c>
      <c r="X180" s="1214">
        <v>238.9</v>
      </c>
      <c r="Y180" s="1136">
        <v>137.6</v>
      </c>
      <c r="Z180" s="893">
        <v>181.9</v>
      </c>
      <c r="AA180" s="1201">
        <v>100</v>
      </c>
      <c r="AB180" s="1214">
        <v>149.80000000000001</v>
      </c>
      <c r="AC180" s="1136"/>
      <c r="AD180" s="1099" t="s">
        <v>61</v>
      </c>
      <c r="AE180" s="1147" t="s">
        <v>1071</v>
      </c>
      <c r="AF180" s="1129">
        <f>SUM(U183:U188,V177:V182)</f>
        <v>2623.5</v>
      </c>
      <c r="AG180" s="887"/>
      <c r="AH180" s="884"/>
    </row>
    <row r="181" spans="1:34" x14ac:dyDescent="0.25">
      <c r="A181" s="1126" t="s">
        <v>63</v>
      </c>
      <c r="B181" s="924">
        <v>154.69999999999999</v>
      </c>
      <c r="C181" s="924">
        <v>151.1</v>
      </c>
      <c r="D181" s="924">
        <v>236.9</v>
      </c>
      <c r="E181" s="924">
        <v>193.7</v>
      </c>
      <c r="F181" s="924">
        <v>345.2</v>
      </c>
      <c r="G181" s="1200">
        <v>339</v>
      </c>
      <c r="H181" s="893">
        <v>311.89999999999998</v>
      </c>
      <c r="I181" s="1200">
        <v>112.7</v>
      </c>
      <c r="J181" s="1214">
        <v>212.6</v>
      </c>
      <c r="K181" s="925">
        <v>237.6</v>
      </c>
      <c r="L181" s="1214">
        <v>179.5</v>
      </c>
      <c r="M181" s="925">
        <v>124</v>
      </c>
      <c r="N181" s="975" t="s">
        <v>63</v>
      </c>
      <c r="O181" s="885" t="s">
        <v>1071</v>
      </c>
      <c r="P181" s="1143">
        <f>SUM(F183:F188,G177:G182)</f>
        <v>2902.6</v>
      </c>
      <c r="Q181" s="1126" t="s">
        <v>63</v>
      </c>
      <c r="R181" s="1134">
        <v>260.3</v>
      </c>
      <c r="S181" s="1134">
        <v>129.69999999999999</v>
      </c>
      <c r="T181" s="1134">
        <v>265.39999999999998</v>
      </c>
      <c r="U181" s="1134">
        <v>248.1</v>
      </c>
      <c r="V181" s="1201">
        <v>205.5</v>
      </c>
      <c r="W181" s="1201">
        <v>175.6</v>
      </c>
      <c r="X181" s="1200">
        <v>206.8</v>
      </c>
      <c r="Y181" s="1136">
        <v>174.1</v>
      </c>
      <c r="Z181" s="893">
        <v>203.5</v>
      </c>
      <c r="AA181" s="1201">
        <v>100.6</v>
      </c>
      <c r="AB181" s="1214">
        <v>135.80000000000001</v>
      </c>
      <c r="AC181" s="1136"/>
      <c r="AD181" s="1099" t="s">
        <v>63</v>
      </c>
      <c r="AE181" s="1147" t="s">
        <v>1072</v>
      </c>
      <c r="AF181" s="1129">
        <f>SUM(V183:V188,W177:W182)</f>
        <v>2062.4209999999998</v>
      </c>
      <c r="AG181" s="887"/>
      <c r="AH181" s="884"/>
    </row>
    <row r="182" spans="1:34" x14ac:dyDescent="0.25">
      <c r="A182" s="1137" t="s">
        <v>65</v>
      </c>
      <c r="B182" s="934">
        <v>155.1</v>
      </c>
      <c r="C182" s="934">
        <v>157.1</v>
      </c>
      <c r="D182" s="934">
        <v>241.1</v>
      </c>
      <c r="E182" s="934">
        <v>243.1</v>
      </c>
      <c r="F182" s="934">
        <v>376.4</v>
      </c>
      <c r="G182" s="1167">
        <v>361.2</v>
      </c>
      <c r="H182" s="931">
        <v>312</v>
      </c>
      <c r="I182" s="1167">
        <v>141.80000000000001</v>
      </c>
      <c r="J182" s="1214">
        <v>241.6</v>
      </c>
      <c r="K182" s="935">
        <v>265.5</v>
      </c>
      <c r="L182" s="1214">
        <v>161.9</v>
      </c>
      <c r="M182" s="935">
        <v>180.5</v>
      </c>
      <c r="N182" s="1138" t="s">
        <v>65</v>
      </c>
      <c r="O182" s="885" t="s">
        <v>1072</v>
      </c>
      <c r="P182" s="1143">
        <f>SUM(G183:G188,H177:H182)</f>
        <v>3460.8000000000006</v>
      </c>
      <c r="Q182" s="1137" t="s">
        <v>65</v>
      </c>
      <c r="R182" s="1134">
        <v>245.5</v>
      </c>
      <c r="S182" s="1139">
        <v>241.2</v>
      </c>
      <c r="T182" s="1139">
        <v>293.10000000000002</v>
      </c>
      <c r="U182" s="1139">
        <v>310.89999999999998</v>
      </c>
      <c r="V182" s="1202">
        <v>195.4</v>
      </c>
      <c r="W182" s="1201">
        <v>181.3</v>
      </c>
      <c r="X182" s="1214">
        <v>208.3</v>
      </c>
      <c r="Y182" s="1140">
        <v>203.7</v>
      </c>
      <c r="Z182" s="893">
        <v>195.8</v>
      </c>
      <c r="AA182" s="1202">
        <v>113.1</v>
      </c>
      <c r="AB182" s="1214">
        <v>170.5</v>
      </c>
      <c r="AC182" s="1140"/>
      <c r="AD182" s="1141" t="s">
        <v>65</v>
      </c>
      <c r="AE182" s="1128" t="s">
        <v>1073</v>
      </c>
      <c r="AF182" s="1129">
        <f>SUM(W183:W188,X177:X182)</f>
        <v>2014.7</v>
      </c>
      <c r="AG182" s="887"/>
      <c r="AH182" s="884"/>
    </row>
    <row r="183" spans="1:34" x14ac:dyDescent="0.25">
      <c r="A183" s="1126" t="s">
        <v>67</v>
      </c>
      <c r="B183" s="924">
        <v>214</v>
      </c>
      <c r="C183" s="920">
        <v>131.5</v>
      </c>
      <c r="D183" s="924">
        <v>247.8</v>
      </c>
      <c r="E183" s="920">
        <v>286.89999999999998</v>
      </c>
      <c r="F183" s="920">
        <v>403.2</v>
      </c>
      <c r="G183" s="1200">
        <v>365.1</v>
      </c>
      <c r="H183" s="1213">
        <v>313.3</v>
      </c>
      <c r="I183" s="1198">
        <v>150.4</v>
      </c>
      <c r="J183" s="1213">
        <v>266.10000000000002</v>
      </c>
      <c r="K183" s="921">
        <v>285.2</v>
      </c>
      <c r="L183" s="1213">
        <v>218.9</v>
      </c>
      <c r="M183" s="925">
        <v>233.9</v>
      </c>
      <c r="N183" s="975" t="s">
        <v>67</v>
      </c>
      <c r="O183" s="885" t="s">
        <v>1073</v>
      </c>
      <c r="P183" s="1129">
        <f>SUM(H183:H188,I177:I182)</f>
        <v>1602.3000000000002</v>
      </c>
      <c r="Q183" s="1126" t="s">
        <v>67</v>
      </c>
      <c r="R183" s="1130">
        <v>263.2</v>
      </c>
      <c r="S183" s="1130">
        <v>306.89999999999998</v>
      </c>
      <c r="T183" s="1130">
        <v>391.7</v>
      </c>
      <c r="U183" s="1130">
        <v>331.9</v>
      </c>
      <c r="V183" s="1201">
        <v>189.1</v>
      </c>
      <c r="W183" s="1199">
        <v>164.7</v>
      </c>
      <c r="X183" s="1213">
        <v>178.5</v>
      </c>
      <c r="Y183" s="1132">
        <v>226.1</v>
      </c>
      <c r="Z183" s="1213">
        <v>195.4</v>
      </c>
      <c r="AA183" s="1199">
        <v>183.8</v>
      </c>
      <c r="AB183" s="1213">
        <v>238.4</v>
      </c>
      <c r="AC183" s="1136"/>
      <c r="AD183" s="1099" t="s">
        <v>67</v>
      </c>
      <c r="AE183" s="1128" t="s">
        <v>1074</v>
      </c>
      <c r="AF183" s="1129">
        <f>SUM(X183:X188,Y177:Y182)</f>
        <v>1518.7670000000001</v>
      </c>
      <c r="AG183" s="887"/>
      <c r="AH183" s="884"/>
    </row>
    <row r="184" spans="1:34" x14ac:dyDescent="0.25">
      <c r="A184" s="1126" t="s">
        <v>62</v>
      </c>
      <c r="B184" s="924">
        <v>214.6</v>
      </c>
      <c r="C184" s="924">
        <v>191.4</v>
      </c>
      <c r="D184" s="924">
        <v>177.6</v>
      </c>
      <c r="E184" s="924">
        <v>341.4</v>
      </c>
      <c r="F184" s="924">
        <v>395.8</v>
      </c>
      <c r="G184" s="1200">
        <v>346</v>
      </c>
      <c r="H184" s="893">
        <v>188.8</v>
      </c>
      <c r="I184" s="1200">
        <v>211.5</v>
      </c>
      <c r="J184" s="1200">
        <v>257</v>
      </c>
      <c r="K184" s="925">
        <v>255</v>
      </c>
      <c r="L184" s="1214">
        <v>212.3</v>
      </c>
      <c r="M184" s="925">
        <v>245.65</v>
      </c>
      <c r="N184" s="975" t="s">
        <v>62</v>
      </c>
      <c r="O184" s="885" t="s">
        <v>1074</v>
      </c>
      <c r="P184" s="1129">
        <f>SUM(I183:I188,J177:J182)</f>
        <v>2129.5360000000001</v>
      </c>
      <c r="Q184" s="1126" t="s">
        <v>62</v>
      </c>
      <c r="R184" s="1134">
        <v>265</v>
      </c>
      <c r="S184" s="1134">
        <v>340.7</v>
      </c>
      <c r="T184" s="1134">
        <v>335.5</v>
      </c>
      <c r="U184" s="1134">
        <v>364.3</v>
      </c>
      <c r="V184" s="1201">
        <v>195.821</v>
      </c>
      <c r="W184" s="1201">
        <v>105.1</v>
      </c>
      <c r="X184" s="1214">
        <v>222.1</v>
      </c>
      <c r="Y184" s="1136">
        <v>190.4</v>
      </c>
      <c r="Z184" s="893">
        <v>216.7</v>
      </c>
      <c r="AA184" s="1201">
        <v>213.8</v>
      </c>
      <c r="AB184" s="1214">
        <v>232.5</v>
      </c>
      <c r="AC184" s="1136"/>
      <c r="AD184" s="1099" t="s">
        <v>62</v>
      </c>
      <c r="AE184" s="1128" t="s">
        <v>1075</v>
      </c>
      <c r="AF184" s="1129">
        <f>SUM(Y183:Y188,Z177:Z182)</f>
        <v>1791.3000000000002</v>
      </c>
      <c r="AG184" s="887"/>
      <c r="AH184" s="884"/>
    </row>
    <row r="185" spans="1:34" x14ac:dyDescent="0.25">
      <c r="A185" s="1126" t="s">
        <v>64</v>
      </c>
      <c r="B185" s="924">
        <v>175.7</v>
      </c>
      <c r="C185" s="924">
        <v>297.8</v>
      </c>
      <c r="D185" s="924">
        <v>118.8</v>
      </c>
      <c r="E185" s="924">
        <v>354.6</v>
      </c>
      <c r="F185" s="924">
        <v>146.4</v>
      </c>
      <c r="G185" s="1203">
        <v>381.2</v>
      </c>
      <c r="H185" s="893">
        <v>154.9</v>
      </c>
      <c r="I185" s="1200">
        <v>217.136</v>
      </c>
      <c r="J185" s="1214">
        <v>207.1</v>
      </c>
      <c r="K185" s="1513">
        <v>176.2</v>
      </c>
      <c r="L185" s="1214">
        <v>186</v>
      </c>
      <c r="M185" s="1513">
        <v>231.7</v>
      </c>
      <c r="N185" s="975" t="s">
        <v>64</v>
      </c>
      <c r="O185" s="885" t="s">
        <v>1075</v>
      </c>
      <c r="P185" s="1129">
        <f>SUM(J183:J188,K177:K182)</f>
        <v>1744.1699999999998</v>
      </c>
      <c r="Q185" s="1126" t="s">
        <v>64</v>
      </c>
      <c r="R185" s="1134">
        <v>251.8</v>
      </c>
      <c r="S185" s="1134">
        <v>228.6</v>
      </c>
      <c r="T185" s="1134">
        <v>284.3</v>
      </c>
      <c r="U185" s="1134">
        <v>317.89999999999998</v>
      </c>
      <c r="V185" s="1201">
        <v>179.2</v>
      </c>
      <c r="W185" s="1201">
        <v>165.3</v>
      </c>
      <c r="X185" s="1200">
        <v>187.667</v>
      </c>
      <c r="Y185" s="1136">
        <v>203.4</v>
      </c>
      <c r="Z185" s="893">
        <v>209.9</v>
      </c>
      <c r="AA185" s="1201">
        <v>195.4</v>
      </c>
      <c r="AB185" s="1214">
        <v>234.8</v>
      </c>
      <c r="AC185" s="1136"/>
      <c r="AD185" s="1099" t="s">
        <v>64</v>
      </c>
      <c r="AE185" s="1128" t="s">
        <v>1076</v>
      </c>
      <c r="AF185" s="1129">
        <f>SUM(Z183:Z188,AA177:AA182)</f>
        <v>1591.5</v>
      </c>
      <c r="AG185" s="887"/>
      <c r="AH185" s="884"/>
    </row>
    <row r="186" spans="1:34" x14ac:dyDescent="0.25">
      <c r="A186" s="1126" t="s">
        <v>66</v>
      </c>
      <c r="B186" s="924">
        <v>278.7</v>
      </c>
      <c r="C186" s="924">
        <v>193.08</v>
      </c>
      <c r="D186" s="924">
        <v>73.400000000000006</v>
      </c>
      <c r="E186" s="924">
        <v>260.2</v>
      </c>
      <c r="F186" s="924">
        <v>74.7</v>
      </c>
      <c r="G186" s="1200">
        <v>318.7</v>
      </c>
      <c r="H186" s="893">
        <v>156.4</v>
      </c>
      <c r="I186" s="1200">
        <v>224.8</v>
      </c>
      <c r="J186" s="1214">
        <v>53</v>
      </c>
      <c r="K186" s="925">
        <v>66.3</v>
      </c>
      <c r="L186" s="1214">
        <v>225.4</v>
      </c>
      <c r="M186" s="925"/>
      <c r="N186" s="975" t="s">
        <v>66</v>
      </c>
      <c r="O186" s="885" t="s">
        <v>1076</v>
      </c>
      <c r="P186" s="1129">
        <f>SUM(K183:K188,L177:L182)</f>
        <v>1684.6000000000001</v>
      </c>
      <c r="Q186" s="1126" t="s">
        <v>66</v>
      </c>
      <c r="R186" s="1134">
        <v>171.5</v>
      </c>
      <c r="S186" s="1134">
        <v>159.69999999999999</v>
      </c>
      <c r="T186" s="1134">
        <v>209.2</v>
      </c>
      <c r="U186" s="1134">
        <v>283.8</v>
      </c>
      <c r="V186" s="1201">
        <v>193.5</v>
      </c>
      <c r="W186" s="1201">
        <v>199.7</v>
      </c>
      <c r="X186" s="1214">
        <v>158.9</v>
      </c>
      <c r="Y186" s="1136">
        <v>177.6</v>
      </c>
      <c r="Z186" s="893">
        <v>208.4</v>
      </c>
      <c r="AA186" s="1201">
        <v>209.4</v>
      </c>
      <c r="AB186" s="1214"/>
      <c r="AC186" s="1136"/>
      <c r="AD186" s="1099" t="s">
        <v>66</v>
      </c>
      <c r="AE186" s="1128" t="s">
        <v>1077</v>
      </c>
      <c r="AF186" s="1129">
        <f>SUM(AA183:AA188,AB177:AB182)</f>
        <v>1695.6799999999998</v>
      </c>
      <c r="AG186" s="887"/>
      <c r="AH186" s="884"/>
    </row>
    <row r="187" spans="1:34" x14ac:dyDescent="0.25">
      <c r="A187" s="1126" t="s">
        <v>56</v>
      </c>
      <c r="B187" s="924">
        <v>170.9</v>
      </c>
      <c r="C187" s="924">
        <v>222.7</v>
      </c>
      <c r="D187" s="924">
        <v>76.900000000000006</v>
      </c>
      <c r="E187" s="924">
        <v>134.1</v>
      </c>
      <c r="F187" s="924">
        <v>234.9</v>
      </c>
      <c r="G187" s="1200">
        <v>252.8</v>
      </c>
      <c r="H187" s="893">
        <v>113.7</v>
      </c>
      <c r="I187" s="1200">
        <v>235.5</v>
      </c>
      <c r="J187" s="1214">
        <v>31.1</v>
      </c>
      <c r="K187" s="925">
        <v>53.2</v>
      </c>
      <c r="L187" s="1200">
        <v>41.23</v>
      </c>
      <c r="M187" s="925"/>
      <c r="N187" s="975" t="s">
        <v>56</v>
      </c>
      <c r="O187" s="885" t="s">
        <v>1077</v>
      </c>
      <c r="P187" s="1143"/>
      <c r="Q187" s="1126" t="s">
        <v>56</v>
      </c>
      <c r="R187" s="1134">
        <v>121.5</v>
      </c>
      <c r="S187" s="1134">
        <v>146.9</v>
      </c>
      <c r="T187" s="1134">
        <v>113.9</v>
      </c>
      <c r="U187" s="1134">
        <v>182.8</v>
      </c>
      <c r="V187" s="1201">
        <v>167.2</v>
      </c>
      <c r="W187" s="1201">
        <v>199.6</v>
      </c>
      <c r="X187" s="1200">
        <v>13.6</v>
      </c>
      <c r="Y187" s="1136">
        <v>142</v>
      </c>
      <c r="Z187" s="893">
        <v>170.5</v>
      </c>
      <c r="AA187" s="1201">
        <v>175.58</v>
      </c>
      <c r="AB187" s="1214"/>
      <c r="AC187" s="1136"/>
      <c r="AD187" s="1099" t="s">
        <v>56</v>
      </c>
      <c r="AE187" s="1128" t="s">
        <v>1078</v>
      </c>
      <c r="AF187" s="1129"/>
      <c r="AG187" s="887"/>
      <c r="AH187" s="884"/>
    </row>
    <row r="188" spans="1:34" x14ac:dyDescent="0.25">
      <c r="A188" s="1137" t="s">
        <v>59</v>
      </c>
      <c r="B188" s="934">
        <v>98.1</v>
      </c>
      <c r="C188" s="934">
        <v>141.83000000000001</v>
      </c>
      <c r="D188" s="934">
        <v>38.200000000000003</v>
      </c>
      <c r="E188" s="934">
        <v>223.8</v>
      </c>
      <c r="F188" s="934">
        <v>57.4</v>
      </c>
      <c r="G188" s="1167">
        <v>265.10000000000002</v>
      </c>
      <c r="H188" s="1215">
        <v>45.6</v>
      </c>
      <c r="I188" s="1167">
        <v>138.80000000000001</v>
      </c>
      <c r="J188" s="1215">
        <v>25.4</v>
      </c>
      <c r="K188" s="935">
        <v>13.6</v>
      </c>
      <c r="L188" s="1214">
        <v>37.1</v>
      </c>
      <c r="M188" s="935"/>
      <c r="N188" s="1138" t="s">
        <v>59</v>
      </c>
      <c r="O188" s="885" t="s">
        <v>1078</v>
      </c>
      <c r="P188" s="1143"/>
      <c r="Q188" s="1137" t="s">
        <v>59</v>
      </c>
      <c r="R188" s="1139">
        <v>85</v>
      </c>
      <c r="S188" s="1139">
        <v>91.6</v>
      </c>
      <c r="T188" s="1139">
        <v>188.7</v>
      </c>
      <c r="U188" s="1139">
        <v>55.6</v>
      </c>
      <c r="V188" s="1202">
        <v>178.1</v>
      </c>
      <c r="W188" s="1202">
        <v>51.2</v>
      </c>
      <c r="X188" s="1214">
        <v>29.5</v>
      </c>
      <c r="Y188" s="1140">
        <v>94.5</v>
      </c>
      <c r="Z188" s="1215">
        <v>84.4</v>
      </c>
      <c r="AA188" s="1202">
        <v>90.1</v>
      </c>
      <c r="AB188" s="1214"/>
      <c r="AC188" s="1140"/>
      <c r="AD188" s="1141" t="s">
        <v>59</v>
      </c>
      <c r="AE188" s="1128" t="s">
        <v>1079</v>
      </c>
      <c r="AF188" s="1129"/>
      <c r="AG188" s="887"/>
      <c r="AH188" s="884"/>
    </row>
    <row r="189" spans="1:34" x14ac:dyDescent="0.25">
      <c r="A189" s="1121"/>
      <c r="B189" s="1204">
        <f t="shared" ref="B189" si="35">SUM(B177:B188)</f>
        <v>2004.3400000000001</v>
      </c>
      <c r="C189" s="1145">
        <f>SUM(C177:C188)</f>
        <v>2109.4100000000003</v>
      </c>
      <c r="D189" s="1055">
        <f>SUM(D177:D188)</f>
        <v>1719.4</v>
      </c>
      <c r="E189" s="1145">
        <f>SUM(E177:E188)</f>
        <v>2346.8000000000002</v>
      </c>
      <c r="F189" s="1055">
        <f>SUM(F177:F188)</f>
        <v>2795.7</v>
      </c>
      <c r="G189" s="1205">
        <f>SUM(G177:G188)</f>
        <v>3519.1</v>
      </c>
      <c r="H189" s="1205">
        <f t="shared" ref="H189:M189" si="36">SUM(H177:H188)</f>
        <v>2504.6</v>
      </c>
      <c r="I189" s="1205">
        <f t="shared" si="36"/>
        <v>1807.7359999999999</v>
      </c>
      <c r="J189" s="1205">
        <f t="shared" si="36"/>
        <v>1791.1</v>
      </c>
      <c r="K189" s="1205">
        <f t="shared" si="36"/>
        <v>1753.97</v>
      </c>
      <c r="L189" s="1205">
        <f>SUM(L177:L188)</f>
        <v>1756.03</v>
      </c>
      <c r="M189" s="1205">
        <f t="shared" si="36"/>
        <v>1334.95</v>
      </c>
      <c r="N189" s="886"/>
      <c r="O189" s="887"/>
      <c r="P189" s="1358"/>
      <c r="Q189" s="1352"/>
      <c r="R189" s="1016">
        <f t="shared" ref="R189:W189" si="37">SUM(R177:R188)</f>
        <v>2283</v>
      </c>
      <c r="S189" s="1161">
        <f>SUM(S177:S188)</f>
        <v>1996.1999999999998</v>
      </c>
      <c r="T189" s="1161">
        <f>SUM(T177:T188)</f>
        <v>2535.1999999999998</v>
      </c>
      <c r="U189" s="1161">
        <f>SUM(U177:U188)</f>
        <v>2711.1</v>
      </c>
      <c r="V189" s="1206">
        <f>SUM(V177:V188)</f>
        <v>2190.1210000000001</v>
      </c>
      <c r="W189" s="1206">
        <f t="shared" si="37"/>
        <v>1845.1000000000001</v>
      </c>
      <c r="X189" s="1283">
        <f>SUM(X177:X188)</f>
        <v>1919.3669999999997</v>
      </c>
      <c r="Y189" s="1162">
        <f t="shared" ref="Y189:AC189" si="38">SUM(Y177:Y188)</f>
        <v>1762.5</v>
      </c>
      <c r="Z189" s="1162">
        <f t="shared" si="38"/>
        <v>1842.6000000000001</v>
      </c>
      <c r="AA189" s="1206">
        <f t="shared" si="38"/>
        <v>1574.28</v>
      </c>
      <c r="AB189" s="1206">
        <f>SUM(AB177:AB188)</f>
        <v>1333.3</v>
      </c>
      <c r="AC189" s="1162">
        <f t="shared" si="38"/>
        <v>0</v>
      </c>
      <c r="AD189" s="1146"/>
      <c r="AE189" s="1128"/>
      <c r="AF189" s="1129"/>
      <c r="AG189" s="887"/>
      <c r="AH189" s="884"/>
    </row>
    <row r="190" spans="1:34" x14ac:dyDescent="0.25">
      <c r="A190" s="1121"/>
      <c r="B190" s="1207"/>
      <c r="C190" s="1207"/>
      <c r="D190" s="1207"/>
      <c r="E190" s="1207"/>
      <c r="F190" s="1207"/>
      <c r="G190" s="1207"/>
      <c r="H190" s="1192"/>
      <c r="I190" s="1207"/>
      <c r="J190" s="1192"/>
      <c r="K190" s="1207"/>
      <c r="L190" s="1192"/>
      <c r="M190" s="1207"/>
      <c r="N190" s="886"/>
      <c r="O190" s="887"/>
      <c r="P190" s="1358"/>
      <c r="Q190" s="1353"/>
      <c r="R190" s="1535">
        <f>R189/R223</f>
        <v>0.69327628891237125</v>
      </c>
      <c r="S190" s="1535">
        <f t="shared" ref="S190:AA190" si="39">S189/S223</f>
        <v>0.7648275862068965</v>
      </c>
      <c r="T190" s="1535">
        <f t="shared" si="39"/>
        <v>0.92990499944980365</v>
      </c>
      <c r="U190" s="1535">
        <f t="shared" si="39"/>
        <v>0.96538831321440022</v>
      </c>
      <c r="V190" s="1535">
        <f t="shared" si="39"/>
        <v>0.72637914033964135</v>
      </c>
      <c r="W190" s="1535">
        <f t="shared" si="39"/>
        <v>0.64929443642889828</v>
      </c>
      <c r="X190" s="1535">
        <f t="shared" si="39"/>
        <v>0.71514981927196819</v>
      </c>
      <c r="Y190" s="1535">
        <f t="shared" si="39"/>
        <v>0.87490692479523458</v>
      </c>
      <c r="Z190" s="1535">
        <f t="shared" si="39"/>
        <v>0.81491309539604628</v>
      </c>
      <c r="AA190" s="1535">
        <f t="shared" si="39"/>
        <v>0.63484663962125665</v>
      </c>
      <c r="AB190" s="887"/>
      <c r="AC190" s="1208"/>
      <c r="AD190" s="1536">
        <f>AVERAGE(R190:Z190)</f>
        <v>0.79267117822391786</v>
      </c>
      <c r="AE190" s="887"/>
      <c r="AF190" s="1358"/>
      <c r="AG190" s="887"/>
      <c r="AH190" s="884"/>
    </row>
    <row r="191" spans="1:34" x14ac:dyDescent="0.25">
      <c r="A191" s="1254"/>
      <c r="B191" s="1148"/>
      <c r="C191" s="1148"/>
      <c r="D191" s="893"/>
      <c r="E191" s="893"/>
      <c r="F191" s="893"/>
      <c r="G191" s="893"/>
      <c r="H191" s="893"/>
      <c r="I191" s="893"/>
      <c r="J191" s="893"/>
      <c r="K191" s="893"/>
      <c r="L191" s="893"/>
      <c r="M191" s="893"/>
      <c r="N191" s="893"/>
      <c r="O191" s="887"/>
      <c r="P191" s="1358"/>
      <c r="Q191" s="1168"/>
      <c r="R191" s="887"/>
      <c r="S191" s="887"/>
      <c r="T191" s="887"/>
      <c r="U191" s="887"/>
      <c r="V191" s="887"/>
      <c r="W191" s="887"/>
      <c r="X191" s="887"/>
      <c r="Y191" s="887"/>
      <c r="Z191" s="887"/>
      <c r="AA191" s="887"/>
      <c r="AB191" s="887"/>
      <c r="AC191" s="887"/>
      <c r="AD191" s="893"/>
      <c r="AE191" s="887"/>
      <c r="AF191" s="1358"/>
      <c r="AG191" s="887"/>
      <c r="AH191" s="884"/>
    </row>
    <row r="192" spans="1:34" ht="18" x14ac:dyDescent="0.25">
      <c r="A192" s="1121"/>
      <c r="B192" s="1651" t="s">
        <v>51</v>
      </c>
      <c r="C192" s="1651"/>
      <c r="D192" s="1651"/>
      <c r="E192" s="1651"/>
      <c r="F192" s="1651"/>
      <c r="G192" s="1651"/>
      <c r="H192" s="1651"/>
      <c r="I192" s="1651"/>
      <c r="J192" s="1651"/>
      <c r="K192" s="1651"/>
      <c r="L192" s="1651"/>
      <c r="M192" s="1651"/>
      <c r="N192" s="886"/>
      <c r="O192" s="893"/>
      <c r="P192" s="1150"/>
      <c r="Q192" s="1168"/>
      <c r="R192" s="1654" t="s">
        <v>51</v>
      </c>
      <c r="S192" s="1654"/>
      <c r="T192" s="1654"/>
      <c r="U192" s="1654"/>
      <c r="V192" s="1654"/>
      <c r="W192" s="1654"/>
      <c r="X192" s="1654"/>
      <c r="Y192" s="1654"/>
      <c r="Z192" s="1654"/>
      <c r="AA192" s="1654"/>
      <c r="AB192" s="1654"/>
      <c r="AC192" s="1654"/>
      <c r="AD192" s="1120"/>
      <c r="AE192" s="1120"/>
      <c r="AF192" s="1150"/>
      <c r="AG192" s="887"/>
      <c r="AH192" s="884"/>
    </row>
    <row r="193" spans="1:34" ht="18" x14ac:dyDescent="0.25">
      <c r="A193" s="1125"/>
      <c r="B193" s="1334">
        <v>2008</v>
      </c>
      <c r="C193" s="1334">
        <v>2009</v>
      </c>
      <c r="D193" s="1334">
        <v>2010</v>
      </c>
      <c r="E193" s="1334">
        <v>2011</v>
      </c>
      <c r="F193" s="1334">
        <v>2012</v>
      </c>
      <c r="G193" s="1337">
        <v>2013</v>
      </c>
      <c r="H193" s="886">
        <v>2014</v>
      </c>
      <c r="I193" s="1337">
        <v>2015</v>
      </c>
      <c r="J193" s="1337">
        <v>2016</v>
      </c>
      <c r="K193" s="1335">
        <v>2017</v>
      </c>
      <c r="L193" s="1337">
        <v>2018</v>
      </c>
      <c r="M193" s="1335">
        <v>2019</v>
      </c>
      <c r="N193" s="1217"/>
      <c r="O193" s="1651" t="s">
        <v>51</v>
      </c>
      <c r="P193" s="1653"/>
      <c r="Q193" s="1354"/>
      <c r="R193" s="1338" t="s">
        <v>1000</v>
      </c>
      <c r="S193" s="1334">
        <v>2010</v>
      </c>
      <c r="T193" s="1338" t="s">
        <v>1001</v>
      </c>
      <c r="U193" s="1176">
        <v>2012</v>
      </c>
      <c r="V193" s="1197">
        <v>2013</v>
      </c>
      <c r="W193" s="1336">
        <v>2014</v>
      </c>
      <c r="X193" s="1209">
        <v>2015</v>
      </c>
      <c r="Y193" s="1339" t="s">
        <v>1054</v>
      </c>
      <c r="Z193" s="1337">
        <v>2017</v>
      </c>
      <c r="AA193" s="1177">
        <v>2018</v>
      </c>
      <c r="AB193" s="1209">
        <v>2019</v>
      </c>
      <c r="AC193" s="1177">
        <v>2020</v>
      </c>
      <c r="AD193" s="987"/>
      <c r="AE193" s="1651" t="s">
        <v>51</v>
      </c>
      <c r="AF193" s="1653"/>
      <c r="AG193" s="887"/>
      <c r="AH193" s="884"/>
    </row>
    <row r="194" spans="1:34" x14ac:dyDescent="0.25">
      <c r="A194" s="1126" t="s">
        <v>54</v>
      </c>
      <c r="B194" s="920">
        <v>511.8</v>
      </c>
      <c r="C194" s="1151">
        <v>595.27430000000004</v>
      </c>
      <c r="D194" s="920">
        <v>440.7</v>
      </c>
      <c r="E194" s="1151">
        <v>560.1</v>
      </c>
      <c r="F194" s="1151">
        <v>524.79999999999995</v>
      </c>
      <c r="G194" s="1210">
        <v>452.3</v>
      </c>
      <c r="H194" s="1192">
        <v>684.7</v>
      </c>
      <c r="I194" s="1198">
        <v>506.3</v>
      </c>
      <c r="J194" s="1214">
        <v>311.39999999999998</v>
      </c>
      <c r="K194" s="921">
        <v>292.60000000000002</v>
      </c>
      <c r="L194" s="1214">
        <v>505.2</v>
      </c>
      <c r="M194" s="1518">
        <v>328.5</v>
      </c>
      <c r="N194" s="1127" t="s">
        <v>54</v>
      </c>
      <c r="O194" s="886" t="s">
        <v>1067</v>
      </c>
      <c r="P194" s="1143">
        <f>SUM(B200:B205,C194:C199)</f>
        <v>10534.946</v>
      </c>
      <c r="Q194" s="1126" t="s">
        <v>54</v>
      </c>
      <c r="R194" s="1130">
        <v>74.584999999999994</v>
      </c>
      <c r="S194" s="1130">
        <v>32.4</v>
      </c>
      <c r="T194" s="1130">
        <v>31.7</v>
      </c>
      <c r="U194" s="1130">
        <v>0.8</v>
      </c>
      <c r="V194" s="1199">
        <v>0</v>
      </c>
      <c r="W194" s="1131">
        <v>70.8</v>
      </c>
      <c r="X194" s="1213">
        <v>1.1000000000000001</v>
      </c>
      <c r="Y194" s="1132">
        <v>28.5</v>
      </c>
      <c r="Z194" s="1200">
        <v>0</v>
      </c>
      <c r="AA194" s="1132">
        <v>37.799999999999997</v>
      </c>
      <c r="AB194" s="1213">
        <v>21.2</v>
      </c>
      <c r="AC194" s="1152"/>
      <c r="AD194" s="1133" t="s">
        <v>54</v>
      </c>
      <c r="AE194" s="1147" t="s">
        <v>1068</v>
      </c>
      <c r="AF194" s="1143">
        <f>SUM(R200:R205,S194:S199)</f>
        <v>1063.6549</v>
      </c>
      <c r="AG194" s="887"/>
      <c r="AH194" s="884"/>
    </row>
    <row r="195" spans="1:34" x14ac:dyDescent="0.25">
      <c r="A195" s="1126" t="s">
        <v>55</v>
      </c>
      <c r="B195" s="924">
        <v>408.4</v>
      </c>
      <c r="C195" s="1153">
        <v>364.798</v>
      </c>
      <c r="D195" s="924">
        <v>253.7</v>
      </c>
      <c r="E195" s="924">
        <v>475.5</v>
      </c>
      <c r="F195" s="924">
        <v>501.2</v>
      </c>
      <c r="G195" s="1200">
        <v>426.9</v>
      </c>
      <c r="H195" s="893">
        <v>469.1</v>
      </c>
      <c r="I195" s="1200">
        <v>464.3</v>
      </c>
      <c r="J195" s="1214">
        <v>432.2</v>
      </c>
      <c r="K195" s="925">
        <v>238</v>
      </c>
      <c r="L195" s="1214">
        <v>539.1</v>
      </c>
      <c r="M195" s="925">
        <v>231.3</v>
      </c>
      <c r="N195" s="975" t="s">
        <v>55</v>
      </c>
      <c r="O195" s="886" t="s">
        <v>1068</v>
      </c>
      <c r="P195" s="1143">
        <f>SUM(C200:C205,D194:D199)</f>
        <v>9160.9169000000002</v>
      </c>
      <c r="Q195" s="1126" t="s">
        <v>55</v>
      </c>
      <c r="R195" s="1134">
        <v>12.6119</v>
      </c>
      <c r="S195" s="1134">
        <v>0.4</v>
      </c>
      <c r="T195" s="1134">
        <v>43.8</v>
      </c>
      <c r="U195" s="1134">
        <v>0.9</v>
      </c>
      <c r="V195" s="1201">
        <v>4.0999999999999996</v>
      </c>
      <c r="W195" s="1135">
        <v>26.9</v>
      </c>
      <c r="X195" s="1214">
        <v>1.6</v>
      </c>
      <c r="Y195" s="1136">
        <v>8</v>
      </c>
      <c r="Z195" s="1200">
        <v>0</v>
      </c>
      <c r="AA195" s="1136">
        <v>116.7</v>
      </c>
      <c r="AB195" s="1214">
        <v>13.6</v>
      </c>
      <c r="AC195" s="1154"/>
      <c r="AD195" s="1099" t="s">
        <v>55</v>
      </c>
      <c r="AE195" s="1147" t="s">
        <v>1069</v>
      </c>
      <c r="AF195" s="1143">
        <f>SUM(S200:S205,T194:T199)</f>
        <v>287.5</v>
      </c>
      <c r="AG195" s="887"/>
      <c r="AH195" s="884"/>
    </row>
    <row r="196" spans="1:34" x14ac:dyDescent="0.25">
      <c r="A196" s="1126" t="s">
        <v>58</v>
      </c>
      <c r="B196" s="924">
        <v>737.1</v>
      </c>
      <c r="C196" s="1153">
        <v>628.93579999999997</v>
      </c>
      <c r="D196" s="924">
        <v>471.5</v>
      </c>
      <c r="E196" s="924">
        <v>411.4</v>
      </c>
      <c r="F196" s="924">
        <v>515</v>
      </c>
      <c r="G196" s="1200">
        <v>571.70000000000005</v>
      </c>
      <c r="H196" s="893">
        <v>521.6</v>
      </c>
      <c r="I196" s="1200">
        <v>642.20000000000005</v>
      </c>
      <c r="J196" s="1214">
        <v>382.2</v>
      </c>
      <c r="K196" s="925">
        <v>435.3</v>
      </c>
      <c r="L196" s="1214">
        <v>332.8</v>
      </c>
      <c r="M196" s="925">
        <v>326.60000000000002</v>
      </c>
      <c r="N196" s="975" t="s">
        <v>58</v>
      </c>
      <c r="O196" s="885" t="s">
        <v>1069</v>
      </c>
      <c r="P196" s="1143">
        <f>SUM(D200:D205,E194:E199)</f>
        <v>8741.4999999999982</v>
      </c>
      <c r="Q196" s="1126" t="s">
        <v>58</v>
      </c>
      <c r="R196" s="1134">
        <v>6.1521999999999997</v>
      </c>
      <c r="S196" s="1134">
        <v>53.5</v>
      </c>
      <c r="T196" s="1134">
        <v>0</v>
      </c>
      <c r="U196" s="1134">
        <v>1.7</v>
      </c>
      <c r="V196" s="1201">
        <v>15.2</v>
      </c>
      <c r="W196" s="1091">
        <v>31.7</v>
      </c>
      <c r="X196" s="1214">
        <v>22.5</v>
      </c>
      <c r="Y196" s="1155">
        <v>22.1</v>
      </c>
      <c r="Z196" s="1200">
        <v>0</v>
      </c>
      <c r="AA196" s="1136">
        <v>45.6</v>
      </c>
      <c r="AB196" s="1214">
        <v>18.399999999999999</v>
      </c>
      <c r="AC196" s="1154"/>
      <c r="AD196" s="1099" t="s">
        <v>58</v>
      </c>
      <c r="AE196" s="1147" t="s">
        <v>1070</v>
      </c>
      <c r="AF196" s="1143">
        <f>SUM(T200:T205,U194:U199)</f>
        <v>174.7</v>
      </c>
      <c r="AG196" s="887"/>
      <c r="AH196" s="884"/>
    </row>
    <row r="197" spans="1:34" x14ac:dyDescent="0.25">
      <c r="A197" s="1126" t="s">
        <v>61</v>
      </c>
      <c r="B197" s="924">
        <v>1037.0999999999999</v>
      </c>
      <c r="C197" s="1153">
        <v>877.19839999999999</v>
      </c>
      <c r="D197" s="924">
        <v>532.79999999999995</v>
      </c>
      <c r="E197" s="924">
        <v>644.9</v>
      </c>
      <c r="F197" s="924">
        <v>457.1</v>
      </c>
      <c r="G197" s="1200">
        <v>666.2</v>
      </c>
      <c r="H197" s="893">
        <v>680.8</v>
      </c>
      <c r="I197" s="1200">
        <v>752.3</v>
      </c>
      <c r="J197" s="1214">
        <v>479.4</v>
      </c>
      <c r="K197" s="925">
        <v>587</v>
      </c>
      <c r="L197" s="1214">
        <v>584.70000000000005</v>
      </c>
      <c r="M197" s="925">
        <v>625.1</v>
      </c>
      <c r="N197" s="975" t="s">
        <v>61</v>
      </c>
      <c r="O197" s="885" t="s">
        <v>1070</v>
      </c>
      <c r="P197" s="1143">
        <f>SUM(E200:E205,F194:F199)</f>
        <v>7786.1</v>
      </c>
      <c r="Q197" s="1126" t="s">
        <v>61</v>
      </c>
      <c r="R197" s="1134">
        <v>72.256699999999995</v>
      </c>
      <c r="S197" s="1134">
        <v>34.200000000000003</v>
      </c>
      <c r="T197" s="1134">
        <v>7</v>
      </c>
      <c r="U197" s="1134">
        <v>1</v>
      </c>
      <c r="V197" s="1201">
        <v>46.9</v>
      </c>
      <c r="W197" s="1091">
        <v>70.599999999999994</v>
      </c>
      <c r="X197" s="1214">
        <v>21.9</v>
      </c>
      <c r="Y197" s="1136">
        <v>10.199999999999999</v>
      </c>
      <c r="Z197" s="1200">
        <v>0</v>
      </c>
      <c r="AA197" s="1136">
        <v>83.9</v>
      </c>
      <c r="AB197" s="1214">
        <v>54.4</v>
      </c>
      <c r="AC197" s="1154"/>
      <c r="AD197" s="1099" t="s">
        <v>61</v>
      </c>
      <c r="AE197" s="1147" t="s">
        <v>1071</v>
      </c>
      <c r="AF197" s="1143">
        <f>SUM(U200:U205,V194:V199)</f>
        <v>310</v>
      </c>
      <c r="AG197" s="887"/>
      <c r="AH197" s="884"/>
    </row>
    <row r="198" spans="1:34" x14ac:dyDescent="0.25">
      <c r="A198" s="1126" t="s">
        <v>63</v>
      </c>
      <c r="B198" s="924">
        <v>1164.8</v>
      </c>
      <c r="C198" s="1153">
        <v>1147.2121</v>
      </c>
      <c r="D198" s="924">
        <v>882.9</v>
      </c>
      <c r="E198" s="924">
        <v>853</v>
      </c>
      <c r="F198" s="924">
        <v>744.2</v>
      </c>
      <c r="G198" s="1200">
        <v>819.8</v>
      </c>
      <c r="H198" s="893">
        <v>897.3</v>
      </c>
      <c r="I198" s="1200">
        <v>710.9</v>
      </c>
      <c r="J198" s="1214">
        <v>570.29999999999995</v>
      </c>
      <c r="K198" s="925">
        <v>704.8</v>
      </c>
      <c r="L198" s="1214">
        <v>623.20000000000005</v>
      </c>
      <c r="M198" s="925">
        <v>567.29999999999995</v>
      </c>
      <c r="N198" s="975" t="s">
        <v>63</v>
      </c>
      <c r="O198" s="885" t="s">
        <v>1071</v>
      </c>
      <c r="P198" s="1143">
        <f>SUM(F200:F205,G194:G199)</f>
        <v>8762.4</v>
      </c>
      <c r="Q198" s="1126" t="s">
        <v>63</v>
      </c>
      <c r="R198" s="1134">
        <v>106.1057</v>
      </c>
      <c r="S198" s="1134">
        <v>204.9</v>
      </c>
      <c r="T198" s="1134">
        <v>-0.1</v>
      </c>
      <c r="U198" s="1134">
        <v>45.1</v>
      </c>
      <c r="V198" s="1201">
        <v>98.4</v>
      </c>
      <c r="W198" s="1135">
        <v>130.5</v>
      </c>
      <c r="X198" s="1200">
        <v>12.8</v>
      </c>
      <c r="Y198" s="1136">
        <v>2.1</v>
      </c>
      <c r="Z198" s="1200">
        <v>0</v>
      </c>
      <c r="AA198" s="1136">
        <v>113.9</v>
      </c>
      <c r="AB198" s="1214">
        <v>35.4</v>
      </c>
      <c r="AC198" s="1154"/>
      <c r="AD198" s="1099" t="s">
        <v>63</v>
      </c>
      <c r="AE198" s="1147" t="s">
        <v>1072</v>
      </c>
      <c r="AF198" s="1143">
        <f>SUM(V200:V205,W194:W199)</f>
        <v>981.49999999999989</v>
      </c>
      <c r="AG198" s="887"/>
      <c r="AH198" s="884"/>
    </row>
    <row r="199" spans="1:34" x14ac:dyDescent="0.25">
      <c r="A199" s="1137" t="s">
        <v>65</v>
      </c>
      <c r="B199" s="934">
        <v>1422.8</v>
      </c>
      <c r="C199" s="1156">
        <v>998.42740000000003</v>
      </c>
      <c r="D199" s="934">
        <v>924.3</v>
      </c>
      <c r="E199" s="934">
        <v>824.8</v>
      </c>
      <c r="F199" s="934">
        <v>831.4</v>
      </c>
      <c r="G199" s="1200">
        <v>875.2</v>
      </c>
      <c r="H199" s="893">
        <v>842.6</v>
      </c>
      <c r="I199" s="1167">
        <v>766.9</v>
      </c>
      <c r="J199" s="1214">
        <v>685.3</v>
      </c>
      <c r="K199" s="935">
        <v>721.4</v>
      </c>
      <c r="L199" s="1214">
        <v>740.4</v>
      </c>
      <c r="M199" s="925">
        <v>644.5</v>
      </c>
      <c r="N199" s="1138" t="s">
        <v>65</v>
      </c>
      <c r="O199" s="885" t="s">
        <v>1072</v>
      </c>
      <c r="P199" s="1143">
        <f>SUM(G200:G205,H194:H199)</f>
        <v>8914.5</v>
      </c>
      <c r="Q199" s="1137" t="s">
        <v>65</v>
      </c>
      <c r="R199" s="1139">
        <v>83.393000000000001</v>
      </c>
      <c r="S199" s="1139">
        <v>83.3</v>
      </c>
      <c r="T199" s="1139">
        <v>0</v>
      </c>
      <c r="U199" s="1139">
        <v>16.5</v>
      </c>
      <c r="V199" s="1202">
        <v>114.2</v>
      </c>
      <c r="W199" s="1144">
        <v>104.8</v>
      </c>
      <c r="X199" s="1214">
        <v>18.5</v>
      </c>
      <c r="Y199" s="1140">
        <v>8.9</v>
      </c>
      <c r="Z199" s="1215">
        <v>51.1</v>
      </c>
      <c r="AA199" s="1140">
        <v>134.1</v>
      </c>
      <c r="AB199" s="1200">
        <v>45</v>
      </c>
      <c r="AC199" s="1157"/>
      <c r="AD199" s="1141" t="s">
        <v>65</v>
      </c>
      <c r="AE199" s="1128" t="s">
        <v>1073</v>
      </c>
      <c r="AF199" s="1129">
        <f>SUM(W200:W205,X194:X199)</f>
        <v>639.69999999999993</v>
      </c>
      <c r="AG199" s="887"/>
      <c r="AH199" s="884"/>
    </row>
    <row r="200" spans="1:34" x14ac:dyDescent="0.25">
      <c r="A200" s="1126" t="s">
        <v>67</v>
      </c>
      <c r="B200" s="924">
        <v>1309.8</v>
      </c>
      <c r="C200" s="1151">
        <v>1335.1123</v>
      </c>
      <c r="D200" s="924">
        <v>998.8</v>
      </c>
      <c r="E200" s="920">
        <v>1016.8</v>
      </c>
      <c r="F200" s="920">
        <v>897</v>
      </c>
      <c r="G200" s="1198">
        <v>967.7</v>
      </c>
      <c r="H200" s="1192">
        <v>908.6</v>
      </c>
      <c r="I200" s="1198">
        <v>719.3</v>
      </c>
      <c r="J200" s="1198">
        <v>766</v>
      </c>
      <c r="K200" s="921">
        <v>814.9</v>
      </c>
      <c r="L200" s="1213">
        <v>847.2</v>
      </c>
      <c r="M200" s="921">
        <v>771.3</v>
      </c>
      <c r="N200" s="975" t="s">
        <v>67</v>
      </c>
      <c r="O200" s="885" t="s">
        <v>1073</v>
      </c>
      <c r="P200" s="1129">
        <f>SUM(H200:H205,I194:I199)</f>
        <v>8621.6</v>
      </c>
      <c r="Q200" s="1126" t="s">
        <v>67</v>
      </c>
      <c r="R200" s="1130">
        <v>171.809</v>
      </c>
      <c r="S200" s="1130">
        <v>60.2</v>
      </c>
      <c r="T200" s="1130">
        <v>0</v>
      </c>
      <c r="U200" s="1130">
        <v>13.9</v>
      </c>
      <c r="V200" s="1199">
        <v>116.4</v>
      </c>
      <c r="W200" s="1131">
        <v>151.6</v>
      </c>
      <c r="X200" s="1213">
        <v>88.9</v>
      </c>
      <c r="Y200" s="1132">
        <v>26.3</v>
      </c>
      <c r="Z200" s="1214">
        <v>58.9</v>
      </c>
      <c r="AA200" s="1132">
        <v>133.1</v>
      </c>
      <c r="AB200" s="1213">
        <v>53.1</v>
      </c>
      <c r="AC200" s="1152"/>
      <c r="AD200" s="1133" t="s">
        <v>67</v>
      </c>
      <c r="AE200" s="1128" t="s">
        <v>1074</v>
      </c>
      <c r="AF200" s="1129">
        <f>SUM(X200:X205,Y194:Y199)</f>
        <v>765.90000000000009</v>
      </c>
      <c r="AG200" s="887"/>
      <c r="AH200" s="884"/>
    </row>
    <row r="201" spans="1:34" x14ac:dyDescent="0.25">
      <c r="A201" s="1126" t="s">
        <v>62</v>
      </c>
      <c r="B201" s="924">
        <v>1258.2</v>
      </c>
      <c r="C201" s="1153">
        <v>1222.5849000000001</v>
      </c>
      <c r="D201" s="924">
        <v>1179.4000000000001</v>
      </c>
      <c r="E201" s="924">
        <v>889.4</v>
      </c>
      <c r="F201" s="924">
        <v>987.5</v>
      </c>
      <c r="G201" s="1200">
        <v>934.9</v>
      </c>
      <c r="H201" s="893">
        <v>995.3</v>
      </c>
      <c r="I201" s="1200">
        <v>780.4</v>
      </c>
      <c r="J201" s="1214">
        <v>762.1</v>
      </c>
      <c r="K201" s="925">
        <v>834.4</v>
      </c>
      <c r="L201" s="1214">
        <v>846.9</v>
      </c>
      <c r="M201" s="925">
        <v>816</v>
      </c>
      <c r="N201" s="975" t="s">
        <v>62</v>
      </c>
      <c r="O201" s="885" t="s">
        <v>1074</v>
      </c>
      <c r="P201" s="1129">
        <f>SUM(I200:I205,J194:J199)</f>
        <v>6735.2589999999991</v>
      </c>
      <c r="Q201" s="1126" t="s">
        <v>62</v>
      </c>
      <c r="R201" s="1134">
        <v>135.6061</v>
      </c>
      <c r="S201" s="1134">
        <v>36.5</v>
      </c>
      <c r="T201" s="1134">
        <v>57.1</v>
      </c>
      <c r="U201" s="1134">
        <v>14</v>
      </c>
      <c r="V201" s="1201">
        <v>127.6</v>
      </c>
      <c r="W201" s="1135">
        <v>193.9</v>
      </c>
      <c r="X201" s="1200">
        <v>94.9</v>
      </c>
      <c r="Y201" s="1136">
        <v>65.599999999999994</v>
      </c>
      <c r="Z201" s="1214">
        <v>51.8</v>
      </c>
      <c r="AA201" s="1136">
        <v>107.5</v>
      </c>
      <c r="AB201" s="1214">
        <v>34.9</v>
      </c>
      <c r="AC201" s="1154"/>
      <c r="AD201" s="1099" t="s">
        <v>62</v>
      </c>
      <c r="AE201" s="1128" t="s">
        <v>1075</v>
      </c>
      <c r="AF201" s="1129">
        <f>SUM(Y200:Y205,Z194:Z199)</f>
        <v>223.29999999999998</v>
      </c>
      <c r="AG201" s="887"/>
      <c r="AH201" s="884"/>
    </row>
    <row r="202" spans="1:34" x14ac:dyDescent="0.25">
      <c r="A202" s="1126" t="s">
        <v>64</v>
      </c>
      <c r="B202" s="924">
        <v>1143.7</v>
      </c>
      <c r="C202" s="1153">
        <v>1110.4296999999999</v>
      </c>
      <c r="D202" s="924">
        <v>1086.8</v>
      </c>
      <c r="E202" s="924">
        <v>793.9</v>
      </c>
      <c r="F202" s="924">
        <v>1089.9000000000001</v>
      </c>
      <c r="G202" s="1200">
        <v>880.3</v>
      </c>
      <c r="H202" s="893">
        <v>962.6</v>
      </c>
      <c r="I202" s="1200">
        <v>676.05899999999997</v>
      </c>
      <c r="J202" s="1200">
        <v>742</v>
      </c>
      <c r="K202" s="925">
        <v>823.4</v>
      </c>
      <c r="L202" s="1214">
        <v>713.2</v>
      </c>
      <c r="M202" s="925">
        <v>759.6</v>
      </c>
      <c r="N202" s="975" t="s">
        <v>64</v>
      </c>
      <c r="O202" s="885" t="s">
        <v>1075</v>
      </c>
      <c r="P202" s="1129">
        <f>SUM(J200:J205,K194:K199)</f>
        <v>7102.0000000000009</v>
      </c>
      <c r="Q202" s="1126" t="s">
        <v>64</v>
      </c>
      <c r="R202" s="1134">
        <v>128.3398</v>
      </c>
      <c r="S202" s="1134">
        <v>118.1</v>
      </c>
      <c r="T202" s="1134">
        <v>19.899999999999999</v>
      </c>
      <c r="U202" s="1134">
        <v>3.1</v>
      </c>
      <c r="V202" s="1201">
        <v>132.4</v>
      </c>
      <c r="W202" s="1135">
        <v>122.1</v>
      </c>
      <c r="X202" s="1214">
        <v>79.900000000000006</v>
      </c>
      <c r="Y202" s="1136">
        <v>44.8</v>
      </c>
      <c r="Z202" s="1214">
        <v>38.1</v>
      </c>
      <c r="AA202" s="1136">
        <v>64.3</v>
      </c>
      <c r="AB202" s="1214">
        <v>5.6</v>
      </c>
      <c r="AC202" s="1154"/>
      <c r="AD202" s="1099" t="s">
        <v>64</v>
      </c>
      <c r="AE202" s="1128" t="s">
        <v>1076</v>
      </c>
      <c r="AF202" s="1129">
        <f>SUM(Z200:Z205,AA194:AA199)</f>
        <v>899.4</v>
      </c>
      <c r="AG202" s="887"/>
      <c r="AH202" s="884"/>
    </row>
    <row r="203" spans="1:34" x14ac:dyDescent="0.25">
      <c r="A203" s="1126" t="s">
        <v>66</v>
      </c>
      <c r="B203" s="924">
        <v>1046</v>
      </c>
      <c r="C203" s="1153">
        <v>743.89</v>
      </c>
      <c r="D203" s="924">
        <v>668.6</v>
      </c>
      <c r="E203" s="924">
        <v>593.20000000000005</v>
      </c>
      <c r="F203" s="924">
        <v>1100.8</v>
      </c>
      <c r="G203" s="1203">
        <v>815.8</v>
      </c>
      <c r="H203" s="931">
        <v>908</v>
      </c>
      <c r="I203" s="1200">
        <v>666</v>
      </c>
      <c r="J203" s="1214">
        <v>761.5</v>
      </c>
      <c r="K203" s="925">
        <v>929.5</v>
      </c>
      <c r="L203" s="1214">
        <v>636.4</v>
      </c>
      <c r="M203" s="1142"/>
      <c r="N203" s="975" t="s">
        <v>66</v>
      </c>
      <c r="O203" s="885" t="s">
        <v>1076</v>
      </c>
      <c r="P203" s="1129">
        <f>SUM(K200:K205,L194:L199)</f>
        <v>8293.7000000000007</v>
      </c>
      <c r="Q203" s="1126" t="s">
        <v>66</v>
      </c>
      <c r="R203" s="1134">
        <v>53.9</v>
      </c>
      <c r="S203" s="1134">
        <v>-23.9</v>
      </c>
      <c r="T203" s="1134">
        <v>5.3</v>
      </c>
      <c r="U203" s="1134">
        <v>0.2</v>
      </c>
      <c r="V203" s="1201">
        <v>92.3</v>
      </c>
      <c r="W203" s="1135">
        <v>84.4</v>
      </c>
      <c r="X203" s="1200">
        <v>116</v>
      </c>
      <c r="Y203" s="1136">
        <v>34.9</v>
      </c>
      <c r="Z203" s="1214">
        <v>45.8</v>
      </c>
      <c r="AA203" s="1136">
        <v>39.200000000000003</v>
      </c>
      <c r="AB203" s="1214"/>
      <c r="AC203" s="1154"/>
      <c r="AD203" s="1099" t="s">
        <v>66</v>
      </c>
      <c r="AE203" s="1128" t="s">
        <v>1077</v>
      </c>
      <c r="AF203" s="1129">
        <f>SUM(AA200:AA205,AB194:AB199)</f>
        <v>561.49999999999989</v>
      </c>
      <c r="AG203" s="887"/>
      <c r="AH203" s="884"/>
    </row>
    <row r="204" spans="1:34" x14ac:dyDescent="0.25">
      <c r="A204" s="1126" t="s">
        <v>56</v>
      </c>
      <c r="B204" s="924">
        <v>725.2</v>
      </c>
      <c r="C204" s="1153">
        <v>793.8</v>
      </c>
      <c r="D204" s="924">
        <v>622.79999999999995</v>
      </c>
      <c r="E204" s="924">
        <v>424.9</v>
      </c>
      <c r="F204" s="924">
        <v>577</v>
      </c>
      <c r="G204" s="1200">
        <v>626</v>
      </c>
      <c r="H204" s="893">
        <v>681.1</v>
      </c>
      <c r="I204" s="1200">
        <v>522.20000000000005</v>
      </c>
      <c r="J204" s="1214">
        <v>629.70000000000005</v>
      </c>
      <c r="K204" s="925">
        <v>734</v>
      </c>
      <c r="L204" s="1214">
        <v>705.8</v>
      </c>
      <c r="M204" s="925"/>
      <c r="N204" s="975" t="s">
        <v>56</v>
      </c>
      <c r="O204" s="885" t="s">
        <v>1077</v>
      </c>
      <c r="P204" s="1143"/>
      <c r="Q204" s="1126" t="s">
        <v>56</v>
      </c>
      <c r="R204" s="1134">
        <v>136.69999999999999</v>
      </c>
      <c r="S204" s="1134">
        <v>14.3</v>
      </c>
      <c r="T204" s="1134">
        <v>26.4</v>
      </c>
      <c r="U204" s="1134">
        <v>0</v>
      </c>
      <c r="V204" s="1201">
        <v>39.700000000000003</v>
      </c>
      <c r="W204" s="1135">
        <v>9.3000000000000007</v>
      </c>
      <c r="X204" s="1214">
        <v>170.8</v>
      </c>
      <c r="Y204" s="1136">
        <v>0.6</v>
      </c>
      <c r="Z204" s="1214">
        <v>25.6</v>
      </c>
      <c r="AA204" s="1136">
        <v>19.2</v>
      </c>
      <c r="AB204" s="1214"/>
      <c r="AC204" s="1154"/>
      <c r="AD204" s="1099" t="s">
        <v>56</v>
      </c>
      <c r="AE204" s="1128" t="s">
        <v>1078</v>
      </c>
      <c r="AF204" s="1129"/>
      <c r="AG204" s="887"/>
      <c r="AH204" s="884"/>
    </row>
    <row r="205" spans="1:34" x14ac:dyDescent="0.25">
      <c r="A205" s="1137" t="s">
        <v>59</v>
      </c>
      <c r="B205" s="934">
        <v>440.2</v>
      </c>
      <c r="C205" s="1156">
        <v>449.2</v>
      </c>
      <c r="D205" s="934">
        <v>415.4</v>
      </c>
      <c r="E205" s="934">
        <v>494.2</v>
      </c>
      <c r="F205" s="934">
        <v>298.10000000000002</v>
      </c>
      <c r="G205" s="1167">
        <v>593.70000000000005</v>
      </c>
      <c r="H205" s="987">
        <v>323.10000000000002</v>
      </c>
      <c r="I205" s="1167">
        <v>510.5</v>
      </c>
      <c r="J205" s="1214">
        <v>461.6</v>
      </c>
      <c r="K205" s="935">
        <v>832.1</v>
      </c>
      <c r="L205" s="1214">
        <v>432.2</v>
      </c>
      <c r="M205" s="935"/>
      <c r="N205" s="1138" t="s">
        <v>59</v>
      </c>
      <c r="O205" s="885" t="s">
        <v>1078</v>
      </c>
      <c r="P205" s="1143"/>
      <c r="Q205" s="1137" t="s">
        <v>59</v>
      </c>
      <c r="R205" s="1139">
        <v>28.6</v>
      </c>
      <c r="S205" s="1139">
        <v>-0.1</v>
      </c>
      <c r="T205" s="1139">
        <v>0</v>
      </c>
      <c r="U205" s="1139">
        <v>0</v>
      </c>
      <c r="V205" s="1202">
        <v>37.799999999999997</v>
      </c>
      <c r="W205" s="1144">
        <v>0</v>
      </c>
      <c r="X205" s="1214">
        <v>135.6</v>
      </c>
      <c r="Y205" s="1140">
        <v>0</v>
      </c>
      <c r="Z205" s="1215">
        <v>147.19999999999999</v>
      </c>
      <c r="AA205" s="1140">
        <v>10.199999999999999</v>
      </c>
      <c r="AB205" s="1215"/>
      <c r="AC205" s="1157"/>
      <c r="AD205" s="1141" t="s">
        <v>59</v>
      </c>
      <c r="AE205" s="1128" t="s">
        <v>1079</v>
      </c>
      <c r="AF205" s="1143"/>
      <c r="AG205" s="887"/>
      <c r="AH205" s="884"/>
    </row>
    <row r="206" spans="1:34" x14ac:dyDescent="0.25">
      <c r="A206" s="1158"/>
      <c r="B206" s="1083">
        <f>SUM(B194:B205)</f>
        <v>11205.100000000002</v>
      </c>
      <c r="C206" s="1083">
        <f>SUM(C194:C205)</f>
        <v>10266.862899999998</v>
      </c>
      <c r="D206" s="1083">
        <f t="shared" ref="D206:F206" si="40">SUM(D194:D205)</f>
        <v>8477.7000000000007</v>
      </c>
      <c r="E206" s="1083">
        <f t="shared" si="40"/>
        <v>7982.0999999999985</v>
      </c>
      <c r="F206" s="1204">
        <f t="shared" si="40"/>
        <v>8524.0000000000018</v>
      </c>
      <c r="G206" s="1083">
        <f>SUM(G194:G205)</f>
        <v>8630.5</v>
      </c>
      <c r="H206" s="1083">
        <f t="shared" ref="H206:M206" si="41">SUM(H194:H205)</f>
        <v>8874.8000000000011</v>
      </c>
      <c r="I206" s="1083">
        <f t="shared" si="41"/>
        <v>7717.3590000000004</v>
      </c>
      <c r="J206" s="1204">
        <f t="shared" si="41"/>
        <v>6983.7000000000007</v>
      </c>
      <c r="K206" s="1083">
        <f t="shared" si="41"/>
        <v>7947.4</v>
      </c>
      <c r="L206" s="1204">
        <f>SUM(L194:L205)</f>
        <v>7507.0999999999995</v>
      </c>
      <c r="M206" s="1083">
        <f t="shared" si="41"/>
        <v>5070.2000000000007</v>
      </c>
      <c r="N206" s="1159"/>
      <c r="O206" s="887"/>
      <c r="P206" s="1358"/>
      <c r="Q206" s="1158"/>
      <c r="R206" s="942">
        <f t="shared" ref="R206:AC206" si="42">SUM(R194:R205)</f>
        <v>1010.0594</v>
      </c>
      <c r="S206" s="1160">
        <f t="shared" si="42"/>
        <v>613.79999999999995</v>
      </c>
      <c r="T206" s="1161">
        <f t="shared" si="42"/>
        <v>191.10000000000002</v>
      </c>
      <c r="U206" s="1161">
        <f t="shared" si="42"/>
        <v>97.2</v>
      </c>
      <c r="V206" s="1206">
        <f t="shared" si="42"/>
        <v>825</v>
      </c>
      <c r="W206" s="1206">
        <f t="shared" si="42"/>
        <v>996.59999999999991</v>
      </c>
      <c r="X206" s="1206">
        <f t="shared" si="42"/>
        <v>764.50000000000011</v>
      </c>
      <c r="Y206" s="1206">
        <f t="shared" si="42"/>
        <v>252</v>
      </c>
      <c r="Z206" s="1206">
        <f t="shared" si="42"/>
        <v>418.5</v>
      </c>
      <c r="AA206" s="1206">
        <f t="shared" si="42"/>
        <v>905.50000000000011</v>
      </c>
      <c r="AB206" s="1206">
        <f t="shared" si="42"/>
        <v>281.60000000000002</v>
      </c>
      <c r="AC206" s="1206">
        <f t="shared" si="42"/>
        <v>0</v>
      </c>
      <c r="AD206" s="1159"/>
      <c r="AE206" s="1128"/>
      <c r="AF206" s="1129"/>
      <c r="AG206" s="887"/>
      <c r="AH206" s="884"/>
    </row>
    <row r="207" spans="1:34" x14ac:dyDescent="0.25">
      <c r="A207" s="1163" t="s">
        <v>4</v>
      </c>
      <c r="B207" s="893"/>
      <c r="C207" s="893"/>
      <c r="D207" s="893"/>
      <c r="E207" s="893"/>
      <c r="F207" s="893"/>
      <c r="G207" s="893"/>
      <c r="H207" s="1192"/>
      <c r="I207" s="893"/>
      <c r="J207" s="893"/>
      <c r="K207" s="893"/>
      <c r="L207" s="1057"/>
      <c r="M207" s="1057"/>
      <c r="N207" s="1164"/>
      <c r="O207" s="887"/>
      <c r="P207" s="1358"/>
      <c r="Q207" s="1355" t="s">
        <v>4</v>
      </c>
      <c r="R207" s="1091">
        <f>R206/R223</f>
        <v>0.30672371108762869</v>
      </c>
      <c r="S207" s="1091">
        <f t="shared" ref="S207:Z207" si="43">S206/S223</f>
        <v>0.23517241379310344</v>
      </c>
      <c r="T207" s="1091">
        <f t="shared" si="43"/>
        <v>7.009500055019624E-2</v>
      </c>
      <c r="U207" s="1091">
        <f t="shared" si="43"/>
        <v>3.4611686785599831E-2</v>
      </c>
      <c r="V207" s="1091">
        <f t="shared" si="43"/>
        <v>0.27362085966035854</v>
      </c>
      <c r="W207" s="1091">
        <f t="shared" si="43"/>
        <v>0.35070556357110177</v>
      </c>
      <c r="X207" s="1091">
        <f t="shared" si="43"/>
        <v>0.28485018072803164</v>
      </c>
      <c r="Y207" s="1091">
        <f t="shared" si="43"/>
        <v>0.12509307520476545</v>
      </c>
      <c r="Z207" s="1091">
        <f t="shared" si="43"/>
        <v>0.18508690460395383</v>
      </c>
      <c r="AA207" s="1091">
        <f>AA206/AA223</f>
        <v>0.3651533603787433</v>
      </c>
      <c r="AB207" s="1211"/>
      <c r="AC207" s="1091"/>
      <c r="AD207" s="1165">
        <f>AVERAGE(R207:AA207)</f>
        <v>0.22311127563634825</v>
      </c>
      <c r="AE207" s="887"/>
      <c r="AF207" s="1358"/>
      <c r="AG207" s="887"/>
      <c r="AH207" s="884"/>
    </row>
    <row r="208" spans="1:34" x14ac:dyDescent="0.25">
      <c r="A208" s="1254"/>
      <c r="B208" s="1148"/>
      <c r="C208" s="1148"/>
      <c r="D208" s="893"/>
      <c r="E208" s="893"/>
      <c r="F208" s="893"/>
      <c r="G208" s="893"/>
      <c r="H208" s="893"/>
      <c r="I208" s="893"/>
      <c r="J208" s="893"/>
      <c r="K208" s="893"/>
      <c r="L208" s="893"/>
      <c r="M208" s="893"/>
      <c r="N208" s="893"/>
      <c r="O208" s="887"/>
      <c r="P208" s="1358"/>
      <c r="Q208" s="1168"/>
      <c r="R208" s="887"/>
      <c r="S208" s="887"/>
      <c r="T208" s="887"/>
      <c r="U208" s="887"/>
      <c r="V208" s="887"/>
      <c r="W208" s="887"/>
      <c r="X208" s="887"/>
      <c r="Y208" s="887"/>
      <c r="Z208" s="887"/>
      <c r="AA208" s="887"/>
      <c r="AB208" s="887"/>
      <c r="AC208" s="887"/>
      <c r="AD208" s="893"/>
      <c r="AE208" s="887"/>
      <c r="AF208" s="1358"/>
      <c r="AG208" s="887"/>
      <c r="AH208" s="884"/>
    </row>
    <row r="209" spans="1:34" ht="18" x14ac:dyDescent="0.25">
      <c r="A209" s="1254"/>
      <c r="B209" s="1651" t="s">
        <v>30</v>
      </c>
      <c r="C209" s="1651"/>
      <c r="D209" s="1651"/>
      <c r="E209" s="1651"/>
      <c r="F209" s="1651"/>
      <c r="G209" s="1651"/>
      <c r="H209" s="1651"/>
      <c r="I209" s="1651"/>
      <c r="J209" s="1651"/>
      <c r="K209" s="1651"/>
      <c r="L209" s="1651"/>
      <c r="M209" s="1651"/>
      <c r="N209" s="1148"/>
      <c r="O209" s="893"/>
      <c r="P209" s="1150"/>
      <c r="Q209" s="1356"/>
      <c r="R209" s="1652" t="s">
        <v>30</v>
      </c>
      <c r="S209" s="1652"/>
      <c r="T209" s="1652"/>
      <c r="U209" s="1652"/>
      <c r="V209" s="1652"/>
      <c r="W209" s="1652"/>
      <c r="X209" s="1652"/>
      <c r="Y209" s="1652"/>
      <c r="Z209" s="1652"/>
      <c r="AA209" s="1652"/>
      <c r="AB209" s="1652"/>
      <c r="AC209" s="1652"/>
      <c r="AD209" s="893"/>
      <c r="AE209" s="893"/>
      <c r="AF209" s="1150"/>
      <c r="AG209" s="887"/>
      <c r="AH209" s="884"/>
    </row>
    <row r="210" spans="1:34" ht="18" x14ac:dyDescent="0.25">
      <c r="A210" s="1125"/>
      <c r="B210" s="1334">
        <v>2008</v>
      </c>
      <c r="C210" s="1334">
        <v>2009</v>
      </c>
      <c r="D210" s="1334">
        <v>2010</v>
      </c>
      <c r="E210" s="1334">
        <v>2011</v>
      </c>
      <c r="F210" s="1334">
        <v>2012</v>
      </c>
      <c r="G210" s="1337">
        <v>2013</v>
      </c>
      <c r="H210" s="1209">
        <v>2014</v>
      </c>
      <c r="I210" s="1337">
        <v>2015</v>
      </c>
      <c r="J210" s="1334">
        <v>2016</v>
      </c>
      <c r="K210" s="1420">
        <v>2017</v>
      </c>
      <c r="L210" s="1420">
        <v>2018</v>
      </c>
      <c r="M210" s="1335">
        <v>2019</v>
      </c>
      <c r="N210" s="1217"/>
      <c r="O210" s="1651" t="s">
        <v>30</v>
      </c>
      <c r="P210" s="1653"/>
      <c r="Q210" s="1354"/>
      <c r="R210" s="1338" t="s">
        <v>1000</v>
      </c>
      <c r="S210" s="1176">
        <v>2010</v>
      </c>
      <c r="T210" s="1338" t="s">
        <v>1001</v>
      </c>
      <c r="U210" s="1334">
        <v>2012</v>
      </c>
      <c r="V210" s="1337">
        <v>2013</v>
      </c>
      <c r="W210" s="1197">
        <v>2014</v>
      </c>
      <c r="X210" s="1209">
        <v>2015</v>
      </c>
      <c r="Y210" s="1339" t="s">
        <v>1054</v>
      </c>
      <c r="Z210" s="1337">
        <v>2017</v>
      </c>
      <c r="AA210" s="1335">
        <v>2018</v>
      </c>
      <c r="AB210" s="1337">
        <v>2019</v>
      </c>
      <c r="AC210" s="1335">
        <v>2020</v>
      </c>
      <c r="AD210" s="987"/>
      <c r="AE210" s="1651" t="s">
        <v>30</v>
      </c>
      <c r="AF210" s="1653"/>
      <c r="AG210" s="887"/>
    </row>
    <row r="211" spans="1:34" x14ac:dyDescent="0.25">
      <c r="A211" s="1126" t="s">
        <v>54</v>
      </c>
      <c r="B211" s="920">
        <f t="shared" ref="B211:J222" si="44">B177+B194</f>
        <v>541.79999999999995</v>
      </c>
      <c r="C211" s="1198">
        <f t="shared" si="44"/>
        <v>737.17430000000002</v>
      </c>
      <c r="D211" s="920">
        <f t="shared" si="44"/>
        <v>570.1</v>
      </c>
      <c r="E211" s="920">
        <f t="shared" si="44"/>
        <v>631.6</v>
      </c>
      <c r="F211" s="920">
        <f t="shared" si="44"/>
        <v>742.8</v>
      </c>
      <c r="G211" s="1198">
        <f t="shared" si="44"/>
        <v>620.5</v>
      </c>
      <c r="H211" s="1213">
        <f t="shared" si="44"/>
        <v>986.5</v>
      </c>
      <c r="I211" s="1213">
        <f t="shared" si="44"/>
        <v>579.79999999999995</v>
      </c>
      <c r="J211" s="1189">
        <f t="shared" si="44"/>
        <v>373.29999999999995</v>
      </c>
      <c r="K211" s="1198">
        <f>K177+K194</f>
        <v>309.3</v>
      </c>
      <c r="L211" s="1214">
        <f>L177+L194</f>
        <v>629.70000000000005</v>
      </c>
      <c r="M211" s="921">
        <f>M177+M194</f>
        <v>386.3</v>
      </c>
      <c r="N211" s="1127" t="s">
        <v>54</v>
      </c>
      <c r="O211" s="886" t="s">
        <v>1067</v>
      </c>
      <c r="P211" s="1129">
        <f t="shared" ref="P211:P216" si="45">P177+P194</f>
        <v>12618.046</v>
      </c>
      <c r="Q211" s="1126" t="s">
        <v>54</v>
      </c>
      <c r="R211" s="1198">
        <f t="shared" ref="R211:Y222" si="46">R177+R194</f>
        <v>187.58499999999998</v>
      </c>
      <c r="S211" s="1135">
        <f t="shared" si="46"/>
        <v>118.80000000000001</v>
      </c>
      <c r="T211" s="1130">
        <f t="shared" si="46"/>
        <v>134.1</v>
      </c>
      <c r="U211" s="1130">
        <f t="shared" si="46"/>
        <v>173.5</v>
      </c>
      <c r="V211" s="1199">
        <f t="shared" si="46"/>
        <v>139.69999999999999</v>
      </c>
      <c r="W211" s="1199">
        <f t="shared" si="46"/>
        <v>233.60000000000002</v>
      </c>
      <c r="X211" s="1199">
        <f t="shared" si="46"/>
        <v>131.1</v>
      </c>
      <c r="Y211" s="1131">
        <f t="shared" si="46"/>
        <v>58.1</v>
      </c>
      <c r="Z211" s="1214">
        <f t="shared" ref="Z211" si="47">Z177+Z194</f>
        <v>37.700000000000003</v>
      </c>
      <c r="AA211" s="1132">
        <f t="shared" ref="AA211:AB222" si="48">AA177+AA194</f>
        <v>142.69999999999999</v>
      </c>
      <c r="AB211" s="1214">
        <f t="shared" si="48"/>
        <v>76.7</v>
      </c>
      <c r="AC211" s="1132"/>
      <c r="AD211" s="1133" t="s">
        <v>54</v>
      </c>
      <c r="AE211" s="1147" t="s">
        <v>1068</v>
      </c>
      <c r="AF211" s="1129">
        <f>AF177+AF194</f>
        <v>2943.4549000000002</v>
      </c>
      <c r="AG211" s="887"/>
    </row>
    <row r="212" spans="1:34" x14ac:dyDescent="0.25">
      <c r="A212" s="1126" t="s">
        <v>55</v>
      </c>
      <c r="B212" s="924">
        <f t="shared" si="44"/>
        <v>497.9</v>
      </c>
      <c r="C212" s="1200">
        <f t="shared" si="44"/>
        <v>462.69799999999998</v>
      </c>
      <c r="D212" s="924">
        <f t="shared" si="44"/>
        <v>342.6</v>
      </c>
      <c r="E212" s="924">
        <f t="shared" si="44"/>
        <v>536.29999999999995</v>
      </c>
      <c r="F212" s="924">
        <f t="shared" si="44"/>
        <v>719.4</v>
      </c>
      <c r="G212" s="1200">
        <f t="shared" si="44"/>
        <v>611.9</v>
      </c>
      <c r="H212" s="1214">
        <f t="shared" si="44"/>
        <v>644.5</v>
      </c>
      <c r="I212" s="1200">
        <f>I178+I195</f>
        <v>549</v>
      </c>
      <c r="J212" s="1214">
        <f t="shared" ref="J212:K215" si="49">J178+J195</f>
        <v>555.5</v>
      </c>
      <c r="K212" s="1200">
        <f t="shared" si="49"/>
        <v>277.39999999999998</v>
      </c>
      <c r="L212" s="1214">
        <f t="shared" ref="L212:L222" si="50">L178+L195</f>
        <v>686.90000000000009</v>
      </c>
      <c r="M212" s="1200">
        <f t="shared" ref="M212:M219" si="51">M178+M195</f>
        <v>267.2</v>
      </c>
      <c r="N212" s="975" t="s">
        <v>55</v>
      </c>
      <c r="O212" s="886" t="s">
        <v>1068</v>
      </c>
      <c r="P212" s="1129">
        <f t="shared" si="45"/>
        <v>11325.9269</v>
      </c>
      <c r="Q212" s="1126" t="s">
        <v>55</v>
      </c>
      <c r="R212" s="1200">
        <f t="shared" si="46"/>
        <v>90.611900000000006</v>
      </c>
      <c r="S212" s="1135">
        <f t="shared" si="46"/>
        <v>58.199999999999996</v>
      </c>
      <c r="T212" s="1134">
        <f t="shared" si="46"/>
        <v>133</v>
      </c>
      <c r="U212" s="1134">
        <f t="shared" si="46"/>
        <v>193.6</v>
      </c>
      <c r="V212" s="1201">
        <f t="shared" si="46"/>
        <v>149.69999999999999</v>
      </c>
      <c r="W212" s="1201">
        <f>W178+W195</f>
        <v>172.3</v>
      </c>
      <c r="X212" s="1214">
        <f>X178+X195</f>
        <v>145.4</v>
      </c>
      <c r="Y212" s="1201">
        <f t="shared" ref="Y212:Z222" si="52">Y178+Y195</f>
        <v>116.4</v>
      </c>
      <c r="Z212" s="1191">
        <f t="shared" si="52"/>
        <v>40.200000000000003</v>
      </c>
      <c r="AA212" s="1201">
        <f t="shared" si="48"/>
        <v>176.6</v>
      </c>
      <c r="AB212" s="1214">
        <f t="shared" si="48"/>
        <v>55.5</v>
      </c>
      <c r="AC212" s="1136"/>
      <c r="AD212" s="1099" t="s">
        <v>55</v>
      </c>
      <c r="AE212" s="1147" t="s">
        <v>1069</v>
      </c>
      <c r="AF212" s="1129">
        <f>AF178+AF195</f>
        <v>2573.7999999999997</v>
      </c>
      <c r="AG212" s="887"/>
    </row>
    <row r="213" spans="1:34" x14ac:dyDescent="0.25">
      <c r="A213" s="1126" t="s">
        <v>58</v>
      </c>
      <c r="B213" s="924">
        <f t="shared" si="44"/>
        <v>916.14</v>
      </c>
      <c r="C213" s="1200">
        <f t="shared" si="44"/>
        <v>783.33579999999995</v>
      </c>
      <c r="D213" s="924">
        <f t="shared" si="44"/>
        <v>616.6</v>
      </c>
      <c r="E213" s="924">
        <f t="shared" si="44"/>
        <v>471.29999999999995</v>
      </c>
      <c r="F213" s="924">
        <f t="shared" si="44"/>
        <v>691.1</v>
      </c>
      <c r="G213" s="1200">
        <f t="shared" si="44"/>
        <v>810</v>
      </c>
      <c r="H213" s="1214">
        <f t="shared" si="44"/>
        <v>690.90000000000009</v>
      </c>
      <c r="I213" s="1200">
        <f>I179+I196</f>
        <v>738.6</v>
      </c>
      <c r="J213" s="1214">
        <f t="shared" ref="J213:J214" si="53">J179+J196</f>
        <v>512.70000000000005</v>
      </c>
      <c r="K213" s="1200">
        <f t="shared" si="49"/>
        <v>560.97</v>
      </c>
      <c r="L213" s="1214">
        <f t="shared" si="50"/>
        <v>396.1</v>
      </c>
      <c r="M213" s="925">
        <f t="shared" si="51"/>
        <v>406.8</v>
      </c>
      <c r="N213" s="975" t="s">
        <v>58</v>
      </c>
      <c r="O213" s="885" t="s">
        <v>1069</v>
      </c>
      <c r="P213" s="1129">
        <f t="shared" si="45"/>
        <v>10219.999999999998</v>
      </c>
      <c r="Q213" s="1126" t="s">
        <v>58</v>
      </c>
      <c r="R213" s="1200">
        <f t="shared" si="46"/>
        <v>175.25219999999999</v>
      </c>
      <c r="S213" s="1135">
        <f t="shared" si="46"/>
        <v>158.19999999999999</v>
      </c>
      <c r="T213" s="1134">
        <f t="shared" si="46"/>
        <v>87.1</v>
      </c>
      <c r="U213" s="1134">
        <f t="shared" si="46"/>
        <v>155.29999999999998</v>
      </c>
      <c r="V213" s="1201">
        <f t="shared" si="46"/>
        <v>214.1</v>
      </c>
      <c r="W213" s="1201">
        <f t="shared" si="46"/>
        <v>156.79999999999998</v>
      </c>
      <c r="X213" s="1214">
        <f t="shared" si="46"/>
        <v>223.8</v>
      </c>
      <c r="Y213" s="1201">
        <f t="shared" ref="Y213:Y214" si="54">Y179+Y196</f>
        <v>97.199999999999989</v>
      </c>
      <c r="Z213" s="1191">
        <f t="shared" si="52"/>
        <v>98.2</v>
      </c>
      <c r="AA213" s="1201">
        <f t="shared" si="48"/>
        <v>73.3</v>
      </c>
      <c r="AB213" s="1214">
        <f t="shared" si="48"/>
        <v>92.5</v>
      </c>
      <c r="AC213" s="1136"/>
      <c r="AD213" s="1099" t="s">
        <v>58</v>
      </c>
      <c r="AE213" s="1147" t="s">
        <v>1070</v>
      </c>
      <c r="AF213" s="1129">
        <f>AF179+AF196</f>
        <v>2872.8</v>
      </c>
      <c r="AG213" s="887"/>
    </row>
    <row r="214" spans="1:34" x14ac:dyDescent="0.25">
      <c r="A214" s="1126" t="s">
        <v>61</v>
      </c>
      <c r="B214" s="924">
        <f t="shared" si="44"/>
        <v>1281.0999999999999</v>
      </c>
      <c r="C214" s="1200">
        <f t="shared" si="44"/>
        <v>1105.8984</v>
      </c>
      <c r="D214" s="924">
        <f t="shared" si="44"/>
        <v>678.09999999999991</v>
      </c>
      <c r="E214" s="924">
        <f t="shared" si="44"/>
        <v>761.69999999999993</v>
      </c>
      <c r="F214" s="924">
        <f t="shared" si="44"/>
        <v>606.5</v>
      </c>
      <c r="G214" s="1200">
        <f t="shared" si="44"/>
        <v>964.7</v>
      </c>
      <c r="H214" s="1214">
        <f t="shared" si="44"/>
        <v>942.3</v>
      </c>
      <c r="I214" s="1200">
        <f t="shared" si="44"/>
        <v>872.8</v>
      </c>
      <c r="J214" s="1214">
        <f t="shared" si="53"/>
        <v>660.9</v>
      </c>
      <c r="K214" s="1200">
        <f t="shared" si="49"/>
        <v>806.6</v>
      </c>
      <c r="L214" s="1214">
        <f t="shared" si="50"/>
        <v>742.80000000000007</v>
      </c>
      <c r="M214" s="925">
        <f t="shared" si="51"/>
        <v>770.40000000000009</v>
      </c>
      <c r="N214" s="975" t="s">
        <v>61</v>
      </c>
      <c r="O214" s="885" t="s">
        <v>1070</v>
      </c>
      <c r="P214" s="1129">
        <f t="shared" si="45"/>
        <v>10870.4</v>
      </c>
      <c r="Q214" s="1126" t="s">
        <v>61</v>
      </c>
      <c r="R214" s="1200">
        <f t="shared" si="46"/>
        <v>331.35670000000005</v>
      </c>
      <c r="S214" s="1135">
        <f t="shared" si="46"/>
        <v>136.19999999999999</v>
      </c>
      <c r="T214" s="1134">
        <f t="shared" si="46"/>
        <v>181.7</v>
      </c>
      <c r="U214" s="1134">
        <f t="shared" si="46"/>
        <v>97.8</v>
      </c>
      <c r="V214" s="1201">
        <f t="shared" si="46"/>
        <v>249</v>
      </c>
      <c r="W214" s="1201">
        <f t="shared" si="46"/>
        <v>239.9</v>
      </c>
      <c r="X214" s="1214">
        <f t="shared" si="46"/>
        <v>260.8</v>
      </c>
      <c r="Y214" s="1201">
        <f t="shared" si="54"/>
        <v>147.79999999999998</v>
      </c>
      <c r="Z214" s="1191">
        <f t="shared" si="52"/>
        <v>181.9</v>
      </c>
      <c r="AA214" s="1136">
        <f t="shared" si="48"/>
        <v>183.9</v>
      </c>
      <c r="AB214" s="1214">
        <f t="shared" si="48"/>
        <v>204.20000000000002</v>
      </c>
      <c r="AC214" s="1136"/>
      <c r="AD214" s="1099" t="s">
        <v>61</v>
      </c>
      <c r="AE214" s="1147" t="s">
        <v>1071</v>
      </c>
      <c r="AF214" s="1129">
        <f>AF180+AF197</f>
        <v>2933.5</v>
      </c>
      <c r="AG214" s="887"/>
    </row>
    <row r="215" spans="1:34" x14ac:dyDescent="0.25">
      <c r="A215" s="1126" t="s">
        <v>63</v>
      </c>
      <c r="B215" s="924">
        <f t="shared" si="44"/>
        <v>1319.5</v>
      </c>
      <c r="C215" s="1200">
        <f t="shared" si="44"/>
        <v>1298.3120999999999</v>
      </c>
      <c r="D215" s="924">
        <f t="shared" si="44"/>
        <v>1119.8</v>
      </c>
      <c r="E215" s="924">
        <f t="shared" si="44"/>
        <v>1046.7</v>
      </c>
      <c r="F215" s="924">
        <f t="shared" si="44"/>
        <v>1089.4000000000001</v>
      </c>
      <c r="G215" s="1200">
        <f t="shared" si="44"/>
        <v>1158.8</v>
      </c>
      <c r="H215" s="1214">
        <f t="shared" si="44"/>
        <v>1209.1999999999998</v>
      </c>
      <c r="I215" s="1200">
        <f t="shared" si="44"/>
        <v>823.6</v>
      </c>
      <c r="J215" s="1214">
        <f t="shared" ref="J215" si="55">J181+J198</f>
        <v>782.9</v>
      </c>
      <c r="K215" s="1200">
        <f t="shared" si="49"/>
        <v>942.4</v>
      </c>
      <c r="L215" s="1214">
        <f t="shared" si="50"/>
        <v>802.7</v>
      </c>
      <c r="M215" s="925">
        <f t="shared" si="51"/>
        <v>691.3</v>
      </c>
      <c r="N215" s="975" t="s">
        <v>63</v>
      </c>
      <c r="O215" s="885" t="s">
        <v>1071</v>
      </c>
      <c r="P215" s="1129">
        <f t="shared" si="45"/>
        <v>11665</v>
      </c>
      <c r="Q215" s="1126" t="s">
        <v>63</v>
      </c>
      <c r="R215" s="1200">
        <f t="shared" si="46"/>
        <v>366.40570000000002</v>
      </c>
      <c r="S215" s="1135">
        <f t="shared" si="46"/>
        <v>334.6</v>
      </c>
      <c r="T215" s="1134">
        <f t="shared" si="46"/>
        <v>265.29999999999995</v>
      </c>
      <c r="U215" s="1134">
        <f t="shared" si="46"/>
        <v>293.2</v>
      </c>
      <c r="V215" s="1201">
        <f t="shared" si="46"/>
        <v>303.89999999999998</v>
      </c>
      <c r="W215" s="1201">
        <f t="shared" si="46"/>
        <v>306.10000000000002</v>
      </c>
      <c r="X215" s="1200">
        <f t="shared" si="46"/>
        <v>219.60000000000002</v>
      </c>
      <c r="Y215" s="1201">
        <f t="shared" ref="Y215" si="56">Y181+Y198</f>
        <v>176.2</v>
      </c>
      <c r="Z215" s="1191">
        <f t="shared" si="52"/>
        <v>203.5</v>
      </c>
      <c r="AA215" s="1136">
        <f t="shared" si="48"/>
        <v>214.5</v>
      </c>
      <c r="AB215" s="1214">
        <f t="shared" si="48"/>
        <v>171.20000000000002</v>
      </c>
      <c r="AC215" s="1136"/>
      <c r="AD215" s="1099" t="s">
        <v>63</v>
      </c>
      <c r="AE215" s="1147" t="s">
        <v>1072</v>
      </c>
      <c r="AF215" s="1129">
        <f>AF181+AF198</f>
        <v>3043.9209999999998</v>
      </c>
      <c r="AG215" s="887"/>
    </row>
    <row r="216" spans="1:34" x14ac:dyDescent="0.25">
      <c r="A216" s="1137" t="s">
        <v>65</v>
      </c>
      <c r="B216" s="934">
        <f t="shared" si="44"/>
        <v>1577.8999999999999</v>
      </c>
      <c r="C216" s="1167">
        <f t="shared" si="44"/>
        <v>1155.5273999999999</v>
      </c>
      <c r="D216" s="934">
        <f t="shared" si="44"/>
        <v>1165.3999999999999</v>
      </c>
      <c r="E216" s="934">
        <f t="shared" si="44"/>
        <v>1067.8999999999999</v>
      </c>
      <c r="F216" s="934">
        <f t="shared" si="44"/>
        <v>1207.8</v>
      </c>
      <c r="G216" s="1167">
        <f t="shared" si="44"/>
        <v>1236.4000000000001</v>
      </c>
      <c r="H216" s="1215">
        <f t="shared" si="44"/>
        <v>1154.5999999999999</v>
      </c>
      <c r="I216" s="1167">
        <f t="shared" si="44"/>
        <v>908.7</v>
      </c>
      <c r="J216" s="1215">
        <f t="shared" ref="J216" si="57">J182+J199</f>
        <v>926.9</v>
      </c>
      <c r="K216" s="1200">
        <f t="shared" ref="K216:K222" si="58">K182+K199</f>
        <v>986.9</v>
      </c>
      <c r="L216" s="1215">
        <f t="shared" si="50"/>
        <v>902.3</v>
      </c>
      <c r="M216" s="1167">
        <f t="shared" si="51"/>
        <v>825</v>
      </c>
      <c r="N216" s="1138" t="s">
        <v>65</v>
      </c>
      <c r="O216" s="885" t="s">
        <v>1072</v>
      </c>
      <c r="P216" s="1129">
        <f t="shared" si="45"/>
        <v>12375.300000000001</v>
      </c>
      <c r="Q216" s="1137" t="s">
        <v>65</v>
      </c>
      <c r="R216" s="1167">
        <f t="shared" si="46"/>
        <v>328.89300000000003</v>
      </c>
      <c r="S216" s="1135">
        <f t="shared" si="46"/>
        <v>324.5</v>
      </c>
      <c r="T216" s="1139">
        <f t="shared" si="46"/>
        <v>293.10000000000002</v>
      </c>
      <c r="U216" s="1139">
        <f t="shared" si="46"/>
        <v>327.39999999999998</v>
      </c>
      <c r="V216" s="1202">
        <f t="shared" si="46"/>
        <v>309.60000000000002</v>
      </c>
      <c r="W216" s="1202">
        <f t="shared" si="46"/>
        <v>286.10000000000002</v>
      </c>
      <c r="X216" s="1215">
        <f t="shared" si="46"/>
        <v>226.8</v>
      </c>
      <c r="Y216" s="1201">
        <f t="shared" ref="Y216" si="59">Y182+Y199</f>
        <v>212.6</v>
      </c>
      <c r="Z216" s="1215">
        <f t="shared" si="52"/>
        <v>246.9</v>
      </c>
      <c r="AA216" s="1202">
        <f t="shared" si="48"/>
        <v>247.2</v>
      </c>
      <c r="AB216" s="1215">
        <f t="shared" si="48"/>
        <v>215.5</v>
      </c>
      <c r="AC216" s="1140"/>
      <c r="AD216" s="1141" t="s">
        <v>65</v>
      </c>
      <c r="AE216" s="1128" t="s">
        <v>1073</v>
      </c>
      <c r="AF216" s="1129">
        <f>SUM(W217:W222,X211:X216)</f>
        <v>2654.4</v>
      </c>
      <c r="AG216" s="887"/>
    </row>
    <row r="217" spans="1:34" x14ac:dyDescent="0.25">
      <c r="A217" s="1126" t="s">
        <v>67</v>
      </c>
      <c r="B217" s="920">
        <f t="shared" si="44"/>
        <v>1523.8</v>
      </c>
      <c r="C217" s="1198">
        <f t="shared" si="44"/>
        <v>1466.6123</v>
      </c>
      <c r="D217" s="924">
        <f t="shared" si="44"/>
        <v>1246.5999999999999</v>
      </c>
      <c r="E217" s="920">
        <f t="shared" si="44"/>
        <v>1303.6999999999998</v>
      </c>
      <c r="F217" s="924">
        <f t="shared" si="44"/>
        <v>1300.2</v>
      </c>
      <c r="G217" s="1198">
        <f t="shared" si="44"/>
        <v>1332.8000000000002</v>
      </c>
      <c r="H217" s="1213">
        <f t="shared" si="44"/>
        <v>1221.9000000000001</v>
      </c>
      <c r="I217" s="1200">
        <f t="shared" si="44"/>
        <v>869.69999999999993</v>
      </c>
      <c r="J217" s="1189">
        <f t="shared" ref="J217" si="60">J183+J200</f>
        <v>1032.0999999999999</v>
      </c>
      <c r="K217" s="1198">
        <f t="shared" si="58"/>
        <v>1100.0999999999999</v>
      </c>
      <c r="L217" s="1213">
        <f t="shared" si="50"/>
        <v>1066.1000000000001</v>
      </c>
      <c r="M217" s="1198">
        <f t="shared" si="51"/>
        <v>1005.1999999999999</v>
      </c>
      <c r="N217" s="975" t="s">
        <v>67</v>
      </c>
      <c r="O217" s="885" t="s">
        <v>1073</v>
      </c>
      <c r="P217" s="1129">
        <f>SUM(H217:H222,I211:I216)</f>
        <v>10223.900000000001</v>
      </c>
      <c r="Q217" s="1126" t="s">
        <v>67</v>
      </c>
      <c r="R217" s="1198">
        <f t="shared" si="46"/>
        <v>435.00900000000001</v>
      </c>
      <c r="S217" s="1131">
        <f t="shared" si="46"/>
        <v>367.09999999999997</v>
      </c>
      <c r="T217" s="1134">
        <f t="shared" si="46"/>
        <v>391.7</v>
      </c>
      <c r="U217" s="1134">
        <f t="shared" si="46"/>
        <v>345.79999999999995</v>
      </c>
      <c r="V217" s="1199">
        <f t="shared" si="46"/>
        <v>305.5</v>
      </c>
      <c r="W217" s="1201">
        <f t="shared" si="46"/>
        <v>316.29999999999995</v>
      </c>
      <c r="X217" s="1214">
        <f t="shared" si="46"/>
        <v>267.39999999999998</v>
      </c>
      <c r="Y217" s="1199">
        <f t="shared" ref="Y217" si="61">Y183+Y200</f>
        <v>252.4</v>
      </c>
      <c r="Z217" s="1214">
        <f t="shared" si="52"/>
        <v>254.3</v>
      </c>
      <c r="AA217" s="1199">
        <f t="shared" si="48"/>
        <v>316.89999999999998</v>
      </c>
      <c r="AB217" s="1214">
        <f t="shared" si="48"/>
        <v>291.5</v>
      </c>
      <c r="AC217" s="1136"/>
      <c r="AD217" s="1133" t="s">
        <v>67</v>
      </c>
      <c r="AE217" s="1128" t="s">
        <v>1074</v>
      </c>
      <c r="AF217" s="1129">
        <f>SUM(X217:X222,Y211:Y216)</f>
        <v>2284.6669999999999</v>
      </c>
      <c r="AG217" s="887"/>
    </row>
    <row r="218" spans="1:34" x14ac:dyDescent="0.25">
      <c r="A218" s="1126" t="s">
        <v>62</v>
      </c>
      <c r="B218" s="924">
        <f t="shared" si="44"/>
        <v>1472.8</v>
      </c>
      <c r="C218" s="1200">
        <f t="shared" si="44"/>
        <v>1413.9849000000002</v>
      </c>
      <c r="D218" s="924">
        <f t="shared" si="44"/>
        <v>1357</v>
      </c>
      <c r="E218" s="924">
        <f t="shared" si="44"/>
        <v>1230.8</v>
      </c>
      <c r="F218" s="924">
        <f t="shared" si="44"/>
        <v>1383.3</v>
      </c>
      <c r="G218" s="1200">
        <f t="shared" si="44"/>
        <v>1280.9000000000001</v>
      </c>
      <c r="H218" s="1214">
        <f t="shared" si="44"/>
        <v>1184.0999999999999</v>
      </c>
      <c r="I218" s="1200">
        <f t="shared" si="44"/>
        <v>991.9</v>
      </c>
      <c r="J218" s="1214">
        <f t="shared" ref="J218" si="62">J184+J201</f>
        <v>1019.1</v>
      </c>
      <c r="K218" s="1200">
        <f t="shared" si="58"/>
        <v>1089.4000000000001</v>
      </c>
      <c r="L218" s="1214">
        <f t="shared" si="50"/>
        <v>1059.2</v>
      </c>
      <c r="M218" s="1200">
        <f t="shared" si="51"/>
        <v>1061.6500000000001</v>
      </c>
      <c r="N218" s="975" t="s">
        <v>62</v>
      </c>
      <c r="O218" s="885" t="s">
        <v>1074</v>
      </c>
      <c r="P218" s="1129">
        <f>SUM(I217:I222,J211:J216)</f>
        <v>8864.7950000000001</v>
      </c>
      <c r="Q218" s="1126" t="s">
        <v>62</v>
      </c>
      <c r="R218" s="1200">
        <f t="shared" si="46"/>
        <v>400.60609999999997</v>
      </c>
      <c r="S218" s="1135">
        <f t="shared" si="46"/>
        <v>377.2</v>
      </c>
      <c r="T218" s="1134">
        <f t="shared" si="46"/>
        <v>392.6</v>
      </c>
      <c r="U218" s="1134">
        <f t="shared" si="46"/>
        <v>378.3</v>
      </c>
      <c r="V218" s="1201">
        <f t="shared" si="46"/>
        <v>323.42099999999999</v>
      </c>
      <c r="W218" s="1201">
        <f t="shared" si="46"/>
        <v>299</v>
      </c>
      <c r="X218" s="1200">
        <f t="shared" si="46"/>
        <v>317</v>
      </c>
      <c r="Y218" s="1134">
        <f t="shared" ref="Y218" si="63">Y184+Y201</f>
        <v>256</v>
      </c>
      <c r="Z218" s="1214">
        <f t="shared" si="52"/>
        <v>268.5</v>
      </c>
      <c r="AA218" s="1201">
        <f t="shared" si="48"/>
        <v>321.3</v>
      </c>
      <c r="AB218" s="1214">
        <f t="shared" si="48"/>
        <v>267.39999999999998</v>
      </c>
      <c r="AC218" s="1136"/>
      <c r="AD218" s="1099" t="s">
        <v>62</v>
      </c>
      <c r="AE218" s="1128" t="s">
        <v>1075</v>
      </c>
      <c r="AF218" s="1129">
        <f>SUM(Y217:Y222,Z211:Z216)</f>
        <v>2014.6000000000001</v>
      </c>
      <c r="AG218" s="887"/>
    </row>
    <row r="219" spans="1:34" x14ac:dyDescent="0.25">
      <c r="A219" s="1126" t="s">
        <v>64</v>
      </c>
      <c r="B219" s="924">
        <f t="shared" si="44"/>
        <v>1319.4</v>
      </c>
      <c r="C219" s="1200">
        <f t="shared" si="44"/>
        <v>1408.2296999999999</v>
      </c>
      <c r="D219" s="924">
        <f t="shared" si="44"/>
        <v>1205.5999999999999</v>
      </c>
      <c r="E219" s="924">
        <f t="shared" si="44"/>
        <v>1148.5</v>
      </c>
      <c r="F219" s="924">
        <f t="shared" si="44"/>
        <v>1236.3000000000002</v>
      </c>
      <c r="G219" s="1200">
        <f t="shared" si="44"/>
        <v>1261.5</v>
      </c>
      <c r="H219" s="1214">
        <f t="shared" si="44"/>
        <v>1117.5</v>
      </c>
      <c r="I219" s="1200">
        <f t="shared" si="44"/>
        <v>893.19499999999994</v>
      </c>
      <c r="J219" s="1214">
        <f t="shared" ref="J219" si="64">J185+J202</f>
        <v>949.1</v>
      </c>
      <c r="K219" s="1200">
        <f t="shared" si="58"/>
        <v>999.59999999999991</v>
      </c>
      <c r="L219" s="1214">
        <f t="shared" si="50"/>
        <v>899.2</v>
      </c>
      <c r="M219" s="1200">
        <f t="shared" si="51"/>
        <v>991.3</v>
      </c>
      <c r="N219" s="975" t="s">
        <v>64</v>
      </c>
      <c r="O219" s="885" t="s">
        <v>1075</v>
      </c>
      <c r="P219" s="1129">
        <f>SUM(J217:J222,K211:K216)</f>
        <v>8846.17</v>
      </c>
      <c r="Q219" s="1126" t="s">
        <v>64</v>
      </c>
      <c r="R219" s="1200">
        <f t="shared" si="46"/>
        <v>380.13980000000004</v>
      </c>
      <c r="S219" s="1135">
        <f t="shared" si="46"/>
        <v>346.7</v>
      </c>
      <c r="T219" s="1134">
        <f t="shared" si="46"/>
        <v>304.2</v>
      </c>
      <c r="U219" s="1134">
        <f t="shared" si="46"/>
        <v>321</v>
      </c>
      <c r="V219" s="1201">
        <f t="shared" si="46"/>
        <v>311.60000000000002</v>
      </c>
      <c r="W219" s="1201">
        <f t="shared" si="46"/>
        <v>287.39999999999998</v>
      </c>
      <c r="X219" s="1200">
        <f t="shared" si="46"/>
        <v>267.56700000000001</v>
      </c>
      <c r="Y219" s="1201">
        <f t="shared" ref="Y219" si="65">Y185+Y202</f>
        <v>248.2</v>
      </c>
      <c r="Z219" s="1200">
        <f t="shared" si="52"/>
        <v>248</v>
      </c>
      <c r="AA219" s="1201">
        <f t="shared" si="48"/>
        <v>259.7</v>
      </c>
      <c r="AB219" s="1214">
        <f t="shared" si="48"/>
        <v>240.4</v>
      </c>
      <c r="AC219" s="1136"/>
      <c r="AD219" s="1099" t="s">
        <v>64</v>
      </c>
      <c r="AE219" s="1128" t="s">
        <v>1076</v>
      </c>
      <c r="AF219" s="1129">
        <f>SUM(Z217:Z222,AA211:AA216)</f>
        <v>2490.8999999999996</v>
      </c>
      <c r="AG219" s="887"/>
    </row>
    <row r="220" spans="1:34" x14ac:dyDescent="0.25">
      <c r="A220" s="1126" t="s">
        <v>66</v>
      </c>
      <c r="B220" s="924">
        <f t="shared" si="44"/>
        <v>1324.7</v>
      </c>
      <c r="C220" s="1200">
        <f t="shared" si="44"/>
        <v>936.97</v>
      </c>
      <c r="D220" s="924">
        <f t="shared" si="44"/>
        <v>742</v>
      </c>
      <c r="E220" s="924">
        <f t="shared" si="44"/>
        <v>853.40000000000009</v>
      </c>
      <c r="F220" s="924">
        <f t="shared" si="44"/>
        <v>1175.5</v>
      </c>
      <c r="G220" s="1200">
        <f t="shared" si="44"/>
        <v>1134.5</v>
      </c>
      <c r="H220" s="1214">
        <f t="shared" si="44"/>
        <v>1064.4000000000001</v>
      </c>
      <c r="I220" s="1200">
        <f t="shared" si="44"/>
        <v>890.8</v>
      </c>
      <c r="J220" s="1214">
        <f t="shared" ref="J220" si="66">J186+J203</f>
        <v>814.5</v>
      </c>
      <c r="K220" s="1200">
        <f t="shared" si="58"/>
        <v>995.8</v>
      </c>
      <c r="L220" s="1214">
        <f t="shared" si="50"/>
        <v>861.8</v>
      </c>
      <c r="M220" s="925"/>
      <c r="N220" s="975" t="s">
        <v>66</v>
      </c>
      <c r="O220" s="885" t="s">
        <v>1076</v>
      </c>
      <c r="P220" s="1129">
        <f>SUM(K217:K222,L211:L216)</f>
        <v>9978.2999999999993</v>
      </c>
      <c r="Q220" s="1126" t="s">
        <v>66</v>
      </c>
      <c r="R220" s="1200">
        <f t="shared" si="46"/>
        <v>225.4</v>
      </c>
      <c r="S220" s="1135">
        <f t="shared" si="46"/>
        <v>135.79999999999998</v>
      </c>
      <c r="T220" s="1134">
        <f t="shared" si="46"/>
        <v>214.5</v>
      </c>
      <c r="U220" s="1134">
        <f t="shared" si="46"/>
        <v>284</v>
      </c>
      <c r="V220" s="1201">
        <f t="shared" si="46"/>
        <v>285.8</v>
      </c>
      <c r="W220" s="1201">
        <f t="shared" si="46"/>
        <v>284.10000000000002</v>
      </c>
      <c r="X220" s="1214">
        <f t="shared" si="46"/>
        <v>274.89999999999998</v>
      </c>
      <c r="Y220" s="1201">
        <f t="shared" ref="Y220" si="67">Y186+Y203</f>
        <v>212.5</v>
      </c>
      <c r="Z220" s="1200">
        <f t="shared" si="52"/>
        <v>254.2</v>
      </c>
      <c r="AA220" s="1201">
        <f t="shared" si="48"/>
        <v>248.60000000000002</v>
      </c>
      <c r="AB220" s="1214"/>
      <c r="AC220" s="1166"/>
      <c r="AD220" s="1099" t="s">
        <v>66</v>
      </c>
      <c r="AE220" s="1128" t="s">
        <v>1077</v>
      </c>
      <c r="AF220" s="1129">
        <f>SUM(AA217:AA222,AB211:AB216)</f>
        <v>2257.1800000000003</v>
      </c>
      <c r="AG220" s="887"/>
    </row>
    <row r="221" spans="1:34" x14ac:dyDescent="0.25">
      <c r="A221" s="1126" t="s">
        <v>56</v>
      </c>
      <c r="B221" s="924">
        <f t="shared" si="44"/>
        <v>896.1</v>
      </c>
      <c r="C221" s="1200">
        <f t="shared" si="44"/>
        <v>1016.5</v>
      </c>
      <c r="D221" s="924">
        <f t="shared" si="44"/>
        <v>699.69999999999993</v>
      </c>
      <c r="E221" s="924">
        <f t="shared" si="44"/>
        <v>559</v>
      </c>
      <c r="F221" s="924">
        <f t="shared" si="44"/>
        <v>811.9</v>
      </c>
      <c r="G221" s="1200">
        <f t="shared" si="44"/>
        <v>878.8</v>
      </c>
      <c r="H221" s="1214">
        <f t="shared" si="44"/>
        <v>794.80000000000007</v>
      </c>
      <c r="I221" s="1200">
        <f t="shared" si="44"/>
        <v>757.7</v>
      </c>
      <c r="J221" s="1214">
        <f t="shared" ref="J221" si="68">J187+J204</f>
        <v>660.80000000000007</v>
      </c>
      <c r="K221" s="1200">
        <f t="shared" si="58"/>
        <v>787.2</v>
      </c>
      <c r="L221" s="1200">
        <f t="shared" si="50"/>
        <v>747.03</v>
      </c>
      <c r="M221" s="925"/>
      <c r="N221" s="975" t="s">
        <v>56</v>
      </c>
      <c r="O221" s="885" t="s">
        <v>1077</v>
      </c>
      <c r="P221" s="1129"/>
      <c r="Q221" s="1126" t="s">
        <v>56</v>
      </c>
      <c r="R221" s="1200">
        <f t="shared" si="46"/>
        <v>258.2</v>
      </c>
      <c r="S221" s="1135">
        <f t="shared" si="46"/>
        <v>161.20000000000002</v>
      </c>
      <c r="T221" s="1134">
        <f t="shared" si="46"/>
        <v>140.30000000000001</v>
      </c>
      <c r="U221" s="1134">
        <f t="shared" si="46"/>
        <v>182.8</v>
      </c>
      <c r="V221" s="1201">
        <f t="shared" si="46"/>
        <v>206.89999999999998</v>
      </c>
      <c r="W221" s="1201">
        <f t="shared" si="46"/>
        <v>208.9</v>
      </c>
      <c r="X221" s="1200">
        <f t="shared" si="46"/>
        <v>184.4</v>
      </c>
      <c r="Y221" s="1201">
        <f t="shared" ref="Y221" si="69">Y187+Y204</f>
        <v>142.6</v>
      </c>
      <c r="Z221" s="1200">
        <f t="shared" si="52"/>
        <v>196.1</v>
      </c>
      <c r="AA221" s="1201">
        <f t="shared" si="48"/>
        <v>194.78</v>
      </c>
      <c r="AB221" s="1214"/>
      <c r="AC221" s="1136"/>
      <c r="AD221" s="1099" t="s">
        <v>56</v>
      </c>
      <c r="AE221" s="1128" t="s">
        <v>1078</v>
      </c>
      <c r="AF221" s="1129"/>
      <c r="AG221" s="887"/>
    </row>
    <row r="222" spans="1:34" x14ac:dyDescent="0.25">
      <c r="A222" s="1137" t="s">
        <v>59</v>
      </c>
      <c r="B222" s="924">
        <f t="shared" si="44"/>
        <v>538.29999999999995</v>
      </c>
      <c r="C222" s="1200">
        <f t="shared" si="44"/>
        <v>591.03</v>
      </c>
      <c r="D222" s="924">
        <f t="shared" si="44"/>
        <v>453.59999999999997</v>
      </c>
      <c r="E222" s="1167">
        <f t="shared" si="44"/>
        <v>718</v>
      </c>
      <c r="F222" s="1167">
        <f t="shared" si="44"/>
        <v>355.5</v>
      </c>
      <c r="G222" s="1167">
        <f t="shared" si="44"/>
        <v>858.80000000000007</v>
      </c>
      <c r="H222" s="1214">
        <f t="shared" si="44"/>
        <v>368.70000000000005</v>
      </c>
      <c r="I222" s="1167">
        <f t="shared" si="44"/>
        <v>649.29999999999995</v>
      </c>
      <c r="J222" s="1215">
        <f t="shared" ref="J222" si="70">J188+J205</f>
        <v>487</v>
      </c>
      <c r="K222" s="1167">
        <f t="shared" si="58"/>
        <v>845.7</v>
      </c>
      <c r="L222" s="1200">
        <f t="shared" si="50"/>
        <v>469.3</v>
      </c>
      <c r="M222" s="935"/>
      <c r="N222" s="1138" t="s">
        <v>59</v>
      </c>
      <c r="O222" s="885" t="s">
        <v>1078</v>
      </c>
      <c r="P222" s="1129"/>
      <c r="Q222" s="1137" t="s">
        <v>59</v>
      </c>
      <c r="R222" s="1167">
        <f t="shared" si="46"/>
        <v>113.6</v>
      </c>
      <c r="S222" s="1135">
        <f t="shared" si="46"/>
        <v>91.5</v>
      </c>
      <c r="T222" s="1134">
        <f t="shared" si="46"/>
        <v>188.7</v>
      </c>
      <c r="U222" s="1134">
        <f t="shared" si="46"/>
        <v>55.6</v>
      </c>
      <c r="V222" s="1202">
        <f t="shared" si="46"/>
        <v>215.89999999999998</v>
      </c>
      <c r="W222" s="1201">
        <f t="shared" si="46"/>
        <v>51.2</v>
      </c>
      <c r="X222" s="1200">
        <f t="shared" si="46"/>
        <v>165.1</v>
      </c>
      <c r="Y222" s="1202">
        <f t="shared" ref="Y222" si="71">Y188+Y205</f>
        <v>94.5</v>
      </c>
      <c r="Z222" s="1200">
        <f t="shared" si="52"/>
        <v>231.6</v>
      </c>
      <c r="AA222" s="1201">
        <f t="shared" si="48"/>
        <v>100.3</v>
      </c>
      <c r="AB222" s="1214"/>
      <c r="AC222" s="1140"/>
      <c r="AD222" s="1141" t="s">
        <v>59</v>
      </c>
      <c r="AE222" s="1128" t="s">
        <v>1079</v>
      </c>
      <c r="AF222" s="1129"/>
      <c r="AG222" s="887"/>
    </row>
    <row r="223" spans="1:34" x14ac:dyDescent="0.25">
      <c r="A223" s="1212"/>
      <c r="B223" s="1086">
        <f>SUM(B211:B222)</f>
        <v>13209.439999999999</v>
      </c>
      <c r="C223" s="1204">
        <f>SUM(C211:C222)</f>
        <v>12376.2729</v>
      </c>
      <c r="D223" s="1204">
        <f t="shared" ref="D223:M223" si="72">SUM(D211:D222)</f>
        <v>10197.1</v>
      </c>
      <c r="E223" s="1084">
        <f t="shared" si="72"/>
        <v>10328.9</v>
      </c>
      <c r="F223" s="1084">
        <f t="shared" si="72"/>
        <v>11319.699999999999</v>
      </c>
      <c r="G223" s="1084">
        <f t="shared" si="72"/>
        <v>12149.6</v>
      </c>
      <c r="H223" s="1204">
        <f t="shared" si="72"/>
        <v>11379.4</v>
      </c>
      <c r="I223" s="1084">
        <f t="shared" si="72"/>
        <v>9525.0949999999993</v>
      </c>
      <c r="J223" s="1086">
        <f t="shared" si="72"/>
        <v>8774.8000000000011</v>
      </c>
      <c r="K223" s="1421">
        <f t="shared" si="72"/>
        <v>9701.3700000000008</v>
      </c>
      <c r="L223" s="1421">
        <f>SUM(L211:L222)</f>
        <v>9263.130000000001</v>
      </c>
      <c r="M223" s="1084">
        <f t="shared" si="72"/>
        <v>6405.1500000000005</v>
      </c>
      <c r="N223" s="886"/>
      <c r="O223" s="887"/>
      <c r="P223" s="1358"/>
      <c r="Q223" s="1357"/>
      <c r="R223" s="948">
        <f>R189+R206</f>
        <v>3293.0594000000001</v>
      </c>
      <c r="S223" s="1161">
        <f>SUM(S211:S222)</f>
        <v>2610</v>
      </c>
      <c r="T223" s="1161">
        <f>SUM(T211:T222)</f>
        <v>2726.3</v>
      </c>
      <c r="U223" s="1161">
        <f>SUM(U211:U222)</f>
        <v>2808.2999999999997</v>
      </c>
      <c r="V223" s="1206">
        <f>SUM(V211:V222)</f>
        <v>3015.1210000000005</v>
      </c>
      <c r="W223" s="1206">
        <f>SUM(W211:W222)</f>
        <v>2841.7</v>
      </c>
      <c r="X223" s="1206">
        <f t="shared" ref="X223:AC223" si="73">SUM(X211:X222)</f>
        <v>2683.8670000000002</v>
      </c>
      <c r="Y223" s="1206">
        <f t="shared" si="73"/>
        <v>2014.5</v>
      </c>
      <c r="Z223" s="1206">
        <f t="shared" si="73"/>
        <v>2261.1</v>
      </c>
      <c r="AA223" s="1206">
        <f t="shared" si="73"/>
        <v>2479.7800000000002</v>
      </c>
      <c r="AB223" s="1206">
        <f t="shared" si="73"/>
        <v>1614.9</v>
      </c>
      <c r="AC223" s="1206">
        <f t="shared" si="73"/>
        <v>0</v>
      </c>
      <c r="AD223" s="953"/>
      <c r="AE223" s="886"/>
      <c r="AF223" s="1129"/>
      <c r="AG223" s="887"/>
    </row>
    <row r="224" spans="1:34" x14ac:dyDescent="0.25">
      <c r="A224" s="1168"/>
      <c r="B224" s="887"/>
      <c r="C224" s="887"/>
      <c r="D224" s="887"/>
      <c r="E224" s="887"/>
      <c r="F224" s="887"/>
      <c r="G224" s="887"/>
      <c r="H224" s="887"/>
      <c r="I224" s="887"/>
      <c r="J224" s="887"/>
      <c r="K224" s="887"/>
      <c r="L224" s="887"/>
      <c r="M224" s="887"/>
      <c r="N224" s="1148"/>
      <c r="O224" s="887"/>
      <c r="P224" s="1358"/>
      <c r="Q224" s="1168"/>
      <c r="R224" s="875"/>
      <c r="S224" s="887"/>
      <c r="T224" s="887"/>
      <c r="U224" s="887"/>
      <c r="V224" s="887"/>
      <c r="W224" s="887"/>
      <c r="X224" s="887"/>
      <c r="Y224" s="887"/>
      <c r="Z224" s="887"/>
      <c r="AA224" s="887"/>
      <c r="AB224" s="875"/>
      <c r="AC224" s="887"/>
      <c r="AD224" s="893"/>
      <c r="AE224" s="887"/>
      <c r="AF224" s="1358"/>
      <c r="AG224" s="887"/>
    </row>
    <row r="225" spans="1:34" ht="18" x14ac:dyDescent="0.25">
      <c r="A225" s="1168"/>
      <c r="B225" s="887"/>
      <c r="C225" s="887"/>
      <c r="D225" s="887"/>
      <c r="E225" s="887"/>
      <c r="F225" s="887"/>
      <c r="G225" s="887"/>
      <c r="H225" s="887"/>
      <c r="I225" s="887"/>
      <c r="J225" s="887"/>
      <c r="K225" s="887"/>
      <c r="L225" s="887"/>
      <c r="M225" s="887"/>
      <c r="N225" s="893"/>
      <c r="O225" s="887"/>
      <c r="P225" s="1358"/>
      <c r="Q225" s="1168"/>
      <c r="R225" s="1169"/>
      <c r="S225" s="1114"/>
      <c r="T225" s="1114"/>
      <c r="U225" s="1114"/>
      <c r="V225" s="1114"/>
      <c r="W225" s="1114"/>
      <c r="X225" s="1114"/>
      <c r="Y225" s="1114"/>
      <c r="Z225" s="1114"/>
      <c r="AA225" s="1114"/>
      <c r="AB225" s="1114"/>
      <c r="AC225" s="1114"/>
      <c r="AD225" s="893"/>
      <c r="AE225" s="887"/>
      <c r="AF225" s="1358"/>
      <c r="AG225" s="1149"/>
      <c r="AH225" s="1170"/>
    </row>
    <row r="226" spans="1:34" ht="18" x14ac:dyDescent="0.25">
      <c r="A226" s="1168"/>
      <c r="B226" s="887"/>
      <c r="C226" s="887"/>
      <c r="D226" s="887"/>
      <c r="E226" s="887"/>
      <c r="F226" s="887"/>
      <c r="G226" s="887"/>
      <c r="H226" s="887"/>
      <c r="I226" s="887"/>
      <c r="J226" s="887"/>
      <c r="K226" s="887"/>
      <c r="L226" s="887"/>
      <c r="M226" s="887"/>
      <c r="N226" s="893"/>
      <c r="O226" s="887"/>
      <c r="P226" s="1358"/>
      <c r="Q226" s="1168"/>
      <c r="R226" s="1169"/>
      <c r="S226" s="1114"/>
      <c r="T226" s="1114"/>
      <c r="U226" s="1114"/>
      <c r="V226" s="1114"/>
      <c r="W226" s="1114"/>
      <c r="X226" s="1114"/>
      <c r="Y226" s="1114"/>
      <c r="Z226" s="1114"/>
      <c r="AA226" s="1114"/>
      <c r="AB226" s="1114"/>
      <c r="AC226" s="1114"/>
      <c r="AD226" s="893"/>
      <c r="AE226" s="887"/>
      <c r="AF226" s="1358"/>
      <c r="AG226" s="1149"/>
      <c r="AH226" s="1170"/>
    </row>
    <row r="227" spans="1:34" ht="18" x14ac:dyDescent="0.25">
      <c r="A227" s="1168"/>
      <c r="B227" s="887"/>
      <c r="C227" s="887"/>
      <c r="D227" s="887"/>
      <c r="E227" s="887"/>
      <c r="F227" s="887"/>
      <c r="G227" s="887"/>
      <c r="H227" s="887"/>
      <c r="I227" s="887"/>
      <c r="J227" s="887"/>
      <c r="K227" s="887"/>
      <c r="L227" s="887"/>
      <c r="M227" s="887"/>
      <c r="N227" s="893"/>
      <c r="O227" s="887"/>
      <c r="P227" s="1358"/>
      <c r="Q227" s="1168"/>
      <c r="R227" s="1169"/>
      <c r="S227" s="1114"/>
      <c r="T227" s="1114"/>
      <c r="U227" s="1114"/>
      <c r="V227" s="1114"/>
      <c r="W227" s="1114"/>
      <c r="X227" s="1114"/>
      <c r="Y227" s="1114"/>
      <c r="Z227" s="1114"/>
      <c r="AA227" s="1114"/>
      <c r="AB227" s="1114"/>
      <c r="AC227" s="1114"/>
      <c r="AD227" s="893"/>
      <c r="AE227" s="887"/>
      <c r="AF227" s="1358"/>
      <c r="AG227" s="1149"/>
      <c r="AH227" s="1170"/>
    </row>
    <row r="228" spans="1:34" ht="16.5" thickBot="1" x14ac:dyDescent="0.3">
      <c r="A228" s="1171"/>
      <c r="B228" s="1172"/>
      <c r="C228" s="1172"/>
      <c r="D228" s="1173"/>
      <c r="E228" s="1173"/>
      <c r="F228" s="1173"/>
      <c r="G228" s="1173"/>
      <c r="H228" s="1173"/>
      <c r="I228" s="1173"/>
      <c r="J228" s="1173"/>
      <c r="K228" s="1173"/>
      <c r="L228" s="1173"/>
      <c r="M228" s="1173"/>
      <c r="N228" s="1174"/>
      <c r="O228" s="1173"/>
      <c r="P228" s="1359"/>
      <c r="Q228" s="1171"/>
      <c r="R228" s="1173"/>
      <c r="S228" s="1173"/>
      <c r="T228" s="1173"/>
      <c r="U228" s="1173"/>
      <c r="V228" s="1173"/>
      <c r="W228" s="1173"/>
      <c r="X228" s="1173"/>
      <c r="Y228" s="1173"/>
      <c r="Z228" s="1173"/>
      <c r="AA228" s="1173"/>
      <c r="AB228" s="1173"/>
      <c r="AC228" s="1173"/>
      <c r="AD228" s="1174"/>
      <c r="AE228" s="1173"/>
      <c r="AF228" s="1359"/>
      <c r="AG228" s="887"/>
    </row>
    <row r="229" spans="1:34" ht="16.5" thickTop="1" x14ac:dyDescent="0.25">
      <c r="P229" s="887"/>
    </row>
    <row r="230" spans="1:34" x14ac:dyDescent="0.25">
      <c r="G230" s="883" t="s">
        <v>962</v>
      </c>
      <c r="X230" s="883" t="s">
        <v>962</v>
      </c>
    </row>
  </sheetData>
  <mergeCells count="97">
    <mergeCell ref="T6:U6"/>
    <mergeCell ref="V6:W6"/>
    <mergeCell ref="AA6:AE6"/>
    <mergeCell ref="R24:S24"/>
    <mergeCell ref="T24:U24"/>
    <mergeCell ref="V24:W24"/>
    <mergeCell ref="X24:Z24"/>
    <mergeCell ref="N6:O6"/>
    <mergeCell ref="B6:C6"/>
    <mergeCell ref="D6:E6"/>
    <mergeCell ref="F6:G6"/>
    <mergeCell ref="H6:I6"/>
    <mergeCell ref="J6:K6"/>
    <mergeCell ref="T41:U41"/>
    <mergeCell ref="V41:W41"/>
    <mergeCell ref="X41:Z41"/>
    <mergeCell ref="B62:C62"/>
    <mergeCell ref="D62:E62"/>
    <mergeCell ref="F62:G62"/>
    <mergeCell ref="H62:I62"/>
    <mergeCell ref="J62:K62"/>
    <mergeCell ref="L62:M62"/>
    <mergeCell ref="B41:C41"/>
    <mergeCell ref="D41:E41"/>
    <mergeCell ref="F41:G41"/>
    <mergeCell ref="H41:I41"/>
    <mergeCell ref="J41:K41"/>
    <mergeCell ref="N41:O41"/>
    <mergeCell ref="R41:S41"/>
    <mergeCell ref="B80:C80"/>
    <mergeCell ref="D80:E80"/>
    <mergeCell ref="F80:G80"/>
    <mergeCell ref="H80:I80"/>
    <mergeCell ref="J80:K80"/>
    <mergeCell ref="X80:Z80"/>
    <mergeCell ref="AA80:AE80"/>
    <mergeCell ref="N62:O62"/>
    <mergeCell ref="R62:T62"/>
    <mergeCell ref="U62:W62"/>
    <mergeCell ref="X62:Z62"/>
    <mergeCell ref="AA62:AE62"/>
    <mergeCell ref="L80:M80"/>
    <mergeCell ref="N80:O80"/>
    <mergeCell ref="R80:T80"/>
    <mergeCell ref="U80:W80"/>
    <mergeCell ref="N97:O97"/>
    <mergeCell ref="R97:T97"/>
    <mergeCell ref="U97:W97"/>
    <mergeCell ref="AD118:AE118"/>
    <mergeCell ref="B97:C97"/>
    <mergeCell ref="D97:E97"/>
    <mergeCell ref="F97:G97"/>
    <mergeCell ref="H97:I97"/>
    <mergeCell ref="J97:K97"/>
    <mergeCell ref="L97:M97"/>
    <mergeCell ref="X97:Z97"/>
    <mergeCell ref="AA97:AE97"/>
    <mergeCell ref="R118:T118"/>
    <mergeCell ref="U118:W118"/>
    <mergeCell ref="X118:Z118"/>
    <mergeCell ref="AA118:AC118"/>
    <mergeCell ref="R153:T153"/>
    <mergeCell ref="U153:W153"/>
    <mergeCell ref="X153:Z153"/>
    <mergeCell ref="AA153:AC153"/>
    <mergeCell ref="AD153:AE153"/>
    <mergeCell ref="R136:T136"/>
    <mergeCell ref="U136:W136"/>
    <mergeCell ref="X136:Z136"/>
    <mergeCell ref="AA136:AC136"/>
    <mergeCell ref="AD136:AE136"/>
    <mergeCell ref="O169:P169"/>
    <mergeCell ref="AE169:AF169"/>
    <mergeCell ref="B175:M175"/>
    <mergeCell ref="R175:AC175"/>
    <mergeCell ref="K169:M169"/>
    <mergeCell ref="K170:L170"/>
    <mergeCell ref="K171:L171"/>
    <mergeCell ref="K173:L173"/>
    <mergeCell ref="AA169:AC169"/>
    <mergeCell ref="AA170:AB170"/>
    <mergeCell ref="AA171:AB171"/>
    <mergeCell ref="AA173:AB173"/>
    <mergeCell ref="K174:L174"/>
    <mergeCell ref="AA174:AB174"/>
    <mergeCell ref="K172:L172"/>
    <mergeCell ref="AA172:AB172"/>
    <mergeCell ref="B209:M209"/>
    <mergeCell ref="R209:AC209"/>
    <mergeCell ref="O210:P210"/>
    <mergeCell ref="AE210:AF210"/>
    <mergeCell ref="O176:P176"/>
    <mergeCell ref="AE176:AF176"/>
    <mergeCell ref="B192:M192"/>
    <mergeCell ref="R192:AC192"/>
    <mergeCell ref="O193:P193"/>
    <mergeCell ref="AE193:AF193"/>
  </mergeCells>
  <printOptions horizontalCentered="1" verticalCentered="1"/>
  <pageMargins left="0.25" right="0.25" top="0.5" bottom="0.5" header="0.3" footer="0.3"/>
  <pageSetup scale="66" orientation="portrait" r:id="rId1"/>
  <headerFooter>
    <oddFooter>&amp;L&amp;"Arial,Regular"&amp;10MONTHLY PRODUCTION / &amp;F (totrpt 1,19).xls&amp;R&amp;"Arial,Regular"&amp;10&amp;D</oddFooter>
  </headerFooter>
  <rowBreaks count="4" manualBreakCount="4">
    <brk id="56" max="16383" man="1"/>
    <brk id="112" max="16383" man="1"/>
    <brk id="168" max="16383" man="1"/>
    <brk id="228" max="16383" man="1"/>
  </rowBreaks>
  <colBreaks count="2" manualBreakCount="2">
    <brk id="16" max="1048575" man="1"/>
    <brk id="3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BD174"/>
  <sheetViews>
    <sheetView topLeftCell="J1" zoomScale="80" zoomScaleNormal="80" workbookViewId="0">
      <selection activeCell="AE18" sqref="AE18"/>
    </sheetView>
  </sheetViews>
  <sheetFormatPr defaultColWidth="9" defaultRowHeight="18" customHeight="1" x14ac:dyDescent="0.2"/>
  <cols>
    <col min="1" max="1" width="8.75" style="2" hidden="1" customWidth="1"/>
    <col min="2" max="4" width="10.75" style="2" hidden="1" customWidth="1"/>
    <col min="5" max="5" width="2.25" style="15" hidden="1" customWidth="1"/>
    <col min="6" max="6" width="8.75" style="15" hidden="1" customWidth="1"/>
    <col min="7" max="9" width="10.75" style="15" hidden="1" customWidth="1"/>
    <col min="10" max="10" width="7.5" style="25" customWidth="1"/>
    <col min="11" max="20" width="9.625" style="2" customWidth="1"/>
    <col min="21" max="21" width="7" style="2" customWidth="1"/>
    <col min="22" max="23" width="9.625" style="2" customWidth="1"/>
    <col min="24" max="24" width="7.125" style="2" customWidth="1"/>
    <col min="25" max="25" width="8.875" style="2" bestFit="1" customWidth="1"/>
    <col min="26" max="27" width="7.75" style="2" bestFit="1" customWidth="1"/>
    <col min="28" max="28" width="8.25" style="2" customWidth="1"/>
    <col min="29" max="30" width="7.875" style="2" customWidth="1"/>
    <col min="31" max="31" width="8.25" style="2" customWidth="1"/>
    <col min="32" max="35" width="7.125" style="2" customWidth="1"/>
    <col min="36" max="36" width="6.375" style="2" customWidth="1"/>
    <col min="37" max="37" width="8.875" style="2" bestFit="1" customWidth="1"/>
    <col min="38" max="38" width="8.375" style="2" customWidth="1"/>
    <col min="39" max="39" width="6.75" style="2" customWidth="1"/>
    <col min="40" max="41" width="6.75" style="2" hidden="1" customWidth="1"/>
    <col min="42" max="54" width="6.75" style="2" customWidth="1"/>
    <col min="55" max="16384" width="9" style="2"/>
  </cols>
  <sheetData>
    <row r="1" spans="1:56" ht="18" customHeight="1" x14ac:dyDescent="0.3">
      <c r="B1" s="8"/>
      <c r="D1" s="8"/>
      <c r="E1" s="224" t="s">
        <v>392</v>
      </c>
      <c r="F1" s="31"/>
      <c r="G1" s="31"/>
      <c r="H1" s="31"/>
      <c r="I1" s="31"/>
      <c r="K1" s="13"/>
      <c r="L1" s="13"/>
      <c r="M1" s="13"/>
      <c r="N1" s="1695" t="s">
        <v>48</v>
      </c>
      <c r="O1" s="1695"/>
      <c r="P1" s="1695"/>
      <c r="Q1" s="1695"/>
      <c r="R1" s="1695"/>
      <c r="S1" s="13"/>
      <c r="T1" s="13"/>
      <c r="W1" s="12"/>
      <c r="Y1" s="8"/>
      <c r="Z1" s="8"/>
      <c r="AC1" s="154"/>
      <c r="AD1" s="154" t="s">
        <v>47</v>
      </c>
      <c r="AE1" s="154"/>
      <c r="AF1" s="8"/>
      <c r="AJ1" s="15"/>
      <c r="AK1" s="14">
        <v>2019</v>
      </c>
      <c r="AL1" s="14" t="s">
        <v>418</v>
      </c>
      <c r="AQ1" s="13"/>
      <c r="AR1" s="13"/>
      <c r="AT1" s="13"/>
      <c r="AU1" s="13"/>
      <c r="AV1" s="154"/>
    </row>
    <row r="2" spans="1:56" ht="15.75" customHeight="1" x14ac:dyDescent="0.25">
      <c r="K2" s="13"/>
      <c r="L2" s="13"/>
      <c r="M2" s="13"/>
      <c r="N2" s="21"/>
      <c r="Q2" s="12"/>
      <c r="S2" s="12"/>
      <c r="T2" s="12"/>
      <c r="W2" s="12"/>
      <c r="Y2" s="8"/>
      <c r="Z2" s="8"/>
      <c r="AA2" s="8"/>
      <c r="AB2" s="8"/>
      <c r="AE2" s="8"/>
      <c r="AF2" s="8"/>
      <c r="AJ2" s="35"/>
      <c r="AK2" s="222" t="s">
        <v>539</v>
      </c>
      <c r="AL2" s="223" t="s">
        <v>540</v>
      </c>
      <c r="AQ2" s="13"/>
      <c r="AR2" s="13"/>
      <c r="AT2" s="13"/>
      <c r="AU2" s="13"/>
      <c r="AV2" s="13"/>
    </row>
    <row r="3" spans="1:56" ht="18" customHeight="1" x14ac:dyDescent="0.3">
      <c r="B3" s="8"/>
      <c r="D3" s="8"/>
      <c r="E3" s="224" t="s">
        <v>68</v>
      </c>
      <c r="F3" s="31"/>
      <c r="G3" s="31"/>
      <c r="H3" s="31"/>
      <c r="I3" s="31"/>
      <c r="N3" s="12"/>
      <c r="O3" s="1695" t="s">
        <v>50</v>
      </c>
      <c r="P3" s="1695"/>
      <c r="Q3" s="1695"/>
      <c r="R3" s="12"/>
      <c r="X3" s="1"/>
      <c r="AA3" s="154"/>
      <c r="AC3" s="154"/>
      <c r="AD3" s="154" t="s">
        <v>1144</v>
      </c>
      <c r="AE3" s="154"/>
      <c r="AF3" s="154"/>
      <c r="AJ3" s="35"/>
      <c r="AK3" s="1445">
        <f>'Prod Data'!$M$107</f>
        <v>1424.1</v>
      </c>
      <c r="AL3" s="408">
        <f>IF(AD20&lt;AK3,AK3-AD20,0)</f>
        <v>0</v>
      </c>
      <c r="AM3" s="35"/>
      <c r="AN3" s="160"/>
      <c r="AO3" s="30"/>
      <c r="AP3" s="30"/>
      <c r="AR3" s="14"/>
      <c r="AT3" s="1642"/>
      <c r="AU3" s="1642"/>
      <c r="AV3" s="1642"/>
      <c r="AW3" s="1642"/>
      <c r="AX3" s="1642"/>
      <c r="AY3" s="30"/>
      <c r="AZ3" s="30"/>
      <c r="BA3" s="30"/>
      <c r="BB3" s="30"/>
      <c r="BC3" s="30"/>
      <c r="BD3" s="159"/>
    </row>
    <row r="4" spans="1:56" ht="18" customHeight="1" x14ac:dyDescent="0.25">
      <c r="A4" s="8"/>
      <c r="B4" s="8"/>
      <c r="D4" s="1694">
        <f>'Prod Data'!C1</f>
        <v>43709</v>
      </c>
      <c r="E4" s="1694"/>
      <c r="F4" s="1694"/>
      <c r="G4" s="31"/>
      <c r="H4" s="31"/>
      <c r="I4" s="31"/>
      <c r="J4" s="117"/>
      <c r="O4" s="1694">
        <f>'Prod Data'!C1</f>
        <v>43709</v>
      </c>
      <c r="P4" s="1694"/>
      <c r="Q4" s="1694"/>
      <c r="U4" s="12"/>
      <c r="V4" s="18"/>
      <c r="X4" s="1"/>
      <c r="AB4" s="9"/>
      <c r="AC4" s="1694">
        <f>'Prod Data'!C1</f>
        <v>43709</v>
      </c>
      <c r="AD4" s="1694"/>
      <c r="AE4" s="1694"/>
      <c r="AJ4" s="31"/>
      <c r="AK4" s="15"/>
      <c r="AL4" s="221"/>
      <c r="AM4" s="13"/>
      <c r="AN4" s="13"/>
      <c r="AO4" s="19"/>
      <c r="AP4" s="13"/>
      <c r="AQ4" s="13"/>
      <c r="AR4" s="13"/>
      <c r="AS4" s="13"/>
      <c r="AT4" s="13"/>
      <c r="AU4" s="1694"/>
      <c r="AV4" s="1694"/>
      <c r="AW4" s="1694"/>
      <c r="AX4" s="13"/>
      <c r="AY4" s="13"/>
      <c r="AZ4" s="13"/>
      <c r="BA4" s="13"/>
      <c r="BB4" s="13"/>
      <c r="BC4" s="19"/>
      <c r="BD4" s="105"/>
    </row>
    <row r="5" spans="1:56" ht="18.75" customHeight="1" x14ac:dyDescent="0.25">
      <c r="A5" s="13"/>
      <c r="B5" s="13"/>
      <c r="D5" s="13"/>
      <c r="E5" s="35"/>
      <c r="F5" s="35"/>
      <c r="G5" s="35"/>
      <c r="H5" s="35"/>
      <c r="I5" s="35"/>
      <c r="J5" s="117" t="s">
        <v>4</v>
      </c>
      <c r="X5" s="1"/>
      <c r="AF5" s="179"/>
      <c r="AG5" s="179"/>
      <c r="AH5" s="179"/>
      <c r="AI5" s="179"/>
      <c r="AJ5" s="31"/>
      <c r="AK5" s="31"/>
      <c r="AL5" s="15"/>
    </row>
    <row r="6" spans="1:56" ht="18" customHeight="1" x14ac:dyDescent="0.3">
      <c r="A6" s="224">
        <v>2014</v>
      </c>
      <c r="F6" s="224">
        <v>2013</v>
      </c>
      <c r="G6" s="2"/>
      <c r="H6" s="2"/>
      <c r="I6" s="2"/>
      <c r="J6" s="117"/>
      <c r="M6" s="1"/>
      <c r="AK6" s="221"/>
      <c r="AL6" s="15"/>
    </row>
    <row r="7" spans="1:56" s="7" customFormat="1" ht="18" customHeight="1" x14ac:dyDescent="0.25">
      <c r="A7" s="106"/>
      <c r="B7" s="5" t="s">
        <v>568</v>
      </c>
      <c r="C7" s="5" t="s">
        <v>908</v>
      </c>
      <c r="D7" s="5" t="s">
        <v>596</v>
      </c>
      <c r="E7" s="843"/>
      <c r="F7" s="106"/>
      <c r="G7" s="5" t="s">
        <v>568</v>
      </c>
      <c r="H7" s="5" t="s">
        <v>908</v>
      </c>
      <c r="I7" s="5" t="s">
        <v>596</v>
      </c>
      <c r="J7" s="199"/>
      <c r="K7" s="1252">
        <v>2013</v>
      </c>
      <c r="L7" s="1252">
        <v>2014</v>
      </c>
      <c r="M7" s="1252">
        <v>2015</v>
      </c>
      <c r="N7" s="1252">
        <v>2016</v>
      </c>
      <c r="O7" s="1252">
        <v>2017</v>
      </c>
      <c r="P7" s="1252">
        <v>2018</v>
      </c>
      <c r="Q7" s="1252">
        <v>2019</v>
      </c>
      <c r="R7" s="1252">
        <v>2020</v>
      </c>
      <c r="S7" s="1252">
        <v>2021</v>
      </c>
      <c r="T7" s="1252">
        <v>2022</v>
      </c>
      <c r="U7" s="94"/>
      <c r="V7" s="1696" t="s">
        <v>541</v>
      </c>
      <c r="W7" s="1696"/>
      <c r="X7" s="78"/>
      <c r="Y7" s="1252">
        <v>2013</v>
      </c>
      <c r="Z7" s="1252">
        <v>2014</v>
      </c>
      <c r="AA7" s="1252">
        <v>2015</v>
      </c>
      <c r="AB7" s="1252">
        <v>2016</v>
      </c>
      <c r="AC7" s="1252">
        <v>2017</v>
      </c>
      <c r="AD7" s="1252">
        <v>2018</v>
      </c>
      <c r="AE7" s="1252">
        <v>2019</v>
      </c>
      <c r="AF7" s="1252">
        <v>2020</v>
      </c>
      <c r="AG7" s="1252">
        <v>2021</v>
      </c>
      <c r="AH7" s="1252">
        <v>2022</v>
      </c>
      <c r="AI7" s="1252">
        <v>2023</v>
      </c>
      <c r="AJ7" s="94"/>
      <c r="AK7" s="1696" t="s">
        <v>541</v>
      </c>
      <c r="AL7" s="1696"/>
      <c r="AM7" s="47"/>
      <c r="AN7" s="855"/>
      <c r="AO7" s="855"/>
      <c r="AP7" s="856"/>
      <c r="AQ7" s="856"/>
      <c r="AR7" s="856"/>
      <c r="AS7" s="856"/>
      <c r="AT7" s="856"/>
      <c r="AU7" s="856"/>
      <c r="AV7" s="856"/>
      <c r="AW7" s="856"/>
      <c r="AX7" s="856"/>
      <c r="AY7" s="856"/>
      <c r="AZ7" s="856"/>
      <c r="BA7" s="856"/>
      <c r="BB7" s="855"/>
      <c r="BC7" s="177"/>
      <c r="BD7" s="177"/>
    </row>
    <row r="8" spans="1:56" ht="18" customHeight="1" x14ac:dyDescent="0.25">
      <c r="A8" s="362" t="s">
        <v>54</v>
      </c>
      <c r="B8" s="864"/>
      <c r="C8" s="865"/>
      <c r="D8" s="866">
        <f>B8-C8</f>
        <v>0</v>
      </c>
      <c r="E8" s="60"/>
      <c r="F8" s="362" t="s">
        <v>54</v>
      </c>
      <c r="G8" s="387">
        <v>273</v>
      </c>
      <c r="H8" s="365">
        <v>273</v>
      </c>
      <c r="I8" s="796">
        <f>G8-H8</f>
        <v>0</v>
      </c>
      <c r="J8" s="359" t="s">
        <v>54</v>
      </c>
      <c r="K8" s="354">
        <v>72.400000000000006</v>
      </c>
      <c r="L8" s="2">
        <v>93.9</v>
      </c>
      <c r="M8" s="11">
        <v>60.2</v>
      </c>
      <c r="N8" s="1450">
        <v>46.4</v>
      </c>
      <c r="O8" s="354">
        <v>38.6</v>
      </c>
      <c r="P8" s="354">
        <v>77.2</v>
      </c>
      <c r="Q8" s="354">
        <v>48</v>
      </c>
      <c r="R8" s="354"/>
      <c r="S8" s="354"/>
      <c r="T8" s="354"/>
      <c r="U8" s="356" t="s">
        <v>54</v>
      </c>
      <c r="V8" s="63" t="s">
        <v>1071</v>
      </c>
      <c r="W8" s="1410">
        <f>SUM(T31:T36,K8:K13)</f>
        <v>1241.0999999999999</v>
      </c>
      <c r="X8" s="359" t="s">
        <v>54</v>
      </c>
      <c r="Y8" s="354">
        <v>59.6</v>
      </c>
      <c r="Z8" s="354">
        <v>100.5</v>
      </c>
      <c r="AA8" s="354">
        <v>56.8</v>
      </c>
      <c r="AB8" s="354">
        <v>42.1</v>
      </c>
      <c r="AC8" s="354">
        <v>21.1</v>
      </c>
      <c r="AD8" s="354">
        <v>85.5</v>
      </c>
      <c r="AE8" s="354">
        <v>48.2</v>
      </c>
      <c r="AF8" s="354"/>
      <c r="AG8" s="453"/>
      <c r="AH8" s="354"/>
      <c r="AI8" s="354"/>
      <c r="AJ8" s="356" t="s">
        <v>54</v>
      </c>
      <c r="AK8" s="63" t="s">
        <v>1071</v>
      </c>
      <c r="AL8" s="1251">
        <f>SUM(AI31:AI36,Y8:Y13)</f>
        <v>1366.8</v>
      </c>
      <c r="AM8" s="856"/>
      <c r="AN8" s="15"/>
      <c r="AO8" s="15"/>
      <c r="AP8" s="45"/>
      <c r="AQ8" s="45"/>
      <c r="AR8" s="45"/>
      <c r="AS8" s="45"/>
      <c r="AT8" s="45"/>
      <c r="AU8" s="45"/>
      <c r="AV8" s="35"/>
      <c r="AW8" s="380"/>
      <c r="AX8" s="380"/>
      <c r="AY8" s="380"/>
      <c r="AZ8" s="35"/>
      <c r="BA8" s="35"/>
      <c r="BB8" s="854"/>
      <c r="BC8" s="855"/>
      <c r="BD8" s="857"/>
    </row>
    <row r="9" spans="1:56" ht="18" customHeight="1" x14ac:dyDescent="0.25">
      <c r="A9" s="363" t="s">
        <v>55</v>
      </c>
      <c r="B9" s="867"/>
      <c r="C9" s="868"/>
      <c r="D9" s="869">
        <f t="shared" ref="D9:D20" si="0">B9-C9</f>
        <v>0</v>
      </c>
      <c r="E9" s="60"/>
      <c r="F9" s="363" t="s">
        <v>55</v>
      </c>
      <c r="G9" s="388">
        <v>259</v>
      </c>
      <c r="H9" s="60">
        <v>259</v>
      </c>
      <c r="I9" s="797">
        <f t="shared" ref="I9:I20" si="1">G9-H9</f>
        <v>0</v>
      </c>
      <c r="J9" s="360" t="s">
        <v>55</v>
      </c>
      <c r="K9" s="139">
        <v>60.2</v>
      </c>
      <c r="L9" s="2">
        <v>72.2</v>
      </c>
      <c r="M9" s="2">
        <v>69.7</v>
      </c>
      <c r="N9" s="1449">
        <v>59.9</v>
      </c>
      <c r="O9" s="139">
        <v>31</v>
      </c>
      <c r="P9" s="139">
        <v>77.8</v>
      </c>
      <c r="Q9" s="139">
        <v>30.5</v>
      </c>
      <c r="R9" s="139"/>
      <c r="S9" s="139"/>
      <c r="T9" s="139"/>
      <c r="U9" s="357" t="s">
        <v>55</v>
      </c>
      <c r="V9" s="63" t="s">
        <v>1072</v>
      </c>
      <c r="W9" s="1411">
        <f>SUM(K14:K19,L8:L13)</f>
        <v>1313.3999999999999</v>
      </c>
      <c r="X9" s="360" t="s">
        <v>55</v>
      </c>
      <c r="Y9" s="139">
        <v>59</v>
      </c>
      <c r="Z9" s="139">
        <v>69</v>
      </c>
      <c r="AA9" s="139">
        <v>70.2</v>
      </c>
      <c r="AB9" s="139">
        <v>61</v>
      </c>
      <c r="AC9" s="139">
        <v>24.4</v>
      </c>
      <c r="AD9" s="139">
        <v>95.7</v>
      </c>
      <c r="AE9" s="139">
        <v>24.6</v>
      </c>
      <c r="AF9" s="139"/>
      <c r="AG9" s="453"/>
      <c r="AH9" s="139"/>
      <c r="AI9" s="139"/>
      <c r="AJ9" s="357" t="s">
        <v>55</v>
      </c>
      <c r="AK9" s="63" t="s">
        <v>1072</v>
      </c>
      <c r="AL9" s="1251">
        <f>SUM(Y14:Y19,Z8:Z13)</f>
        <v>1531.4680000000001</v>
      </c>
      <c r="AM9" s="856"/>
      <c r="AN9" s="15"/>
      <c r="AO9" s="15"/>
      <c r="AP9" s="45"/>
      <c r="AQ9" s="45"/>
      <c r="AR9" s="45"/>
      <c r="AS9" s="45"/>
      <c r="AT9" s="45"/>
      <c r="AU9" s="45"/>
      <c r="AV9" s="35"/>
      <c r="AW9" s="380"/>
      <c r="AX9" s="380"/>
      <c r="AY9" s="380"/>
      <c r="AZ9" s="35"/>
      <c r="BA9" s="35"/>
      <c r="BB9" s="854"/>
      <c r="BC9" s="855"/>
      <c r="BD9" s="857"/>
    </row>
    <row r="10" spans="1:56" ht="18" customHeight="1" x14ac:dyDescent="0.25">
      <c r="A10" s="363" t="s">
        <v>58</v>
      </c>
      <c r="B10" s="867"/>
      <c r="C10" s="868"/>
      <c r="D10" s="869">
        <f t="shared" si="0"/>
        <v>0</v>
      </c>
      <c r="E10" s="60"/>
      <c r="F10" s="363" t="s">
        <v>58</v>
      </c>
      <c r="G10" s="388">
        <v>319</v>
      </c>
      <c r="H10" s="60">
        <v>319</v>
      </c>
      <c r="I10" s="797">
        <f t="shared" si="1"/>
        <v>0</v>
      </c>
      <c r="J10" s="360" t="s">
        <v>58</v>
      </c>
      <c r="K10" s="139">
        <v>92.8</v>
      </c>
      <c r="L10" s="2">
        <v>73.8</v>
      </c>
      <c r="M10" s="2">
        <v>83.5</v>
      </c>
      <c r="N10" s="164">
        <v>60.2</v>
      </c>
      <c r="O10" s="139">
        <v>63.7</v>
      </c>
      <c r="P10" s="139">
        <v>69.599999999999994</v>
      </c>
      <c r="Q10" s="139">
        <v>49</v>
      </c>
      <c r="R10" s="139"/>
      <c r="S10" s="139"/>
      <c r="T10" s="139"/>
      <c r="U10" s="357" t="s">
        <v>58</v>
      </c>
      <c r="V10" s="63" t="s">
        <v>1073</v>
      </c>
      <c r="W10" s="1411">
        <f>SUM(L14:L19,M8:M13)</f>
        <v>1153.0999999999999</v>
      </c>
      <c r="X10" s="360" t="s">
        <v>58</v>
      </c>
      <c r="Y10" s="139">
        <v>95.5</v>
      </c>
      <c r="Z10" s="139">
        <v>85.9</v>
      </c>
      <c r="AA10" s="139">
        <v>93.4</v>
      </c>
      <c r="AB10" s="139">
        <v>55.3</v>
      </c>
      <c r="AC10" s="139">
        <v>82.7</v>
      </c>
      <c r="AD10" s="139">
        <v>42.6</v>
      </c>
      <c r="AE10" s="139">
        <v>60.7</v>
      </c>
      <c r="AF10" s="139"/>
      <c r="AG10" s="453"/>
      <c r="AH10" s="139"/>
      <c r="AI10" s="139"/>
      <c r="AJ10" s="357" t="s">
        <v>58</v>
      </c>
      <c r="AK10" s="63" t="s">
        <v>1073</v>
      </c>
      <c r="AL10" s="1251">
        <f>SUM(Z14:Z19,AA8:AA13)</f>
        <v>1338.6999999999998</v>
      </c>
      <c r="AM10" s="856"/>
      <c r="AN10" s="15"/>
      <c r="AO10" s="15"/>
      <c r="AP10" s="45"/>
      <c r="AQ10" s="45"/>
      <c r="AR10" s="45"/>
      <c r="AS10" s="45"/>
      <c r="AT10" s="45"/>
      <c r="AU10" s="45"/>
      <c r="AV10" s="35"/>
      <c r="AW10" s="380"/>
      <c r="AX10" s="380"/>
      <c r="AY10" s="380"/>
      <c r="AZ10" s="35"/>
      <c r="BA10" s="35"/>
      <c r="BB10" s="854"/>
      <c r="BC10" s="855"/>
      <c r="BD10" s="857"/>
    </row>
    <row r="11" spans="1:56" ht="18" customHeight="1" x14ac:dyDescent="0.25">
      <c r="A11" s="363" t="s">
        <v>61</v>
      </c>
      <c r="B11" s="867"/>
      <c r="C11" s="868"/>
      <c r="D11" s="869">
        <f t="shared" si="0"/>
        <v>0</v>
      </c>
      <c r="E11" s="60"/>
      <c r="F11" s="363" t="s">
        <v>61</v>
      </c>
      <c r="G11" s="388">
        <v>420</v>
      </c>
      <c r="H11" s="60">
        <v>420</v>
      </c>
      <c r="I11" s="797">
        <f t="shared" si="1"/>
        <v>0</v>
      </c>
      <c r="J11" s="360" t="s">
        <v>61</v>
      </c>
      <c r="K11" s="139">
        <v>78.5</v>
      </c>
      <c r="L11" s="2">
        <v>98.5</v>
      </c>
      <c r="M11" s="17">
        <v>92</v>
      </c>
      <c r="N11" s="164">
        <v>74</v>
      </c>
      <c r="O11" s="139">
        <v>94.8</v>
      </c>
      <c r="P11" s="139">
        <v>96.1</v>
      </c>
      <c r="Q11" s="139">
        <v>77</v>
      </c>
      <c r="R11" s="139"/>
      <c r="S11" s="139"/>
      <c r="T11" s="139"/>
      <c r="U11" s="357" t="s">
        <v>61</v>
      </c>
      <c r="V11" s="63" t="s">
        <v>1074</v>
      </c>
      <c r="W11" s="1411">
        <f>SUM(M14:M19,N8:N13)</f>
        <v>972.19999999999993</v>
      </c>
      <c r="X11" s="360" t="s">
        <v>61</v>
      </c>
      <c r="Y11" s="139">
        <v>124.3</v>
      </c>
      <c r="Z11" s="139">
        <v>136.80000000000001</v>
      </c>
      <c r="AA11" s="139">
        <v>117.8</v>
      </c>
      <c r="AB11" s="139">
        <v>85.3</v>
      </c>
      <c r="AC11" s="139">
        <v>110.3</v>
      </c>
      <c r="AD11" s="139">
        <v>125.7</v>
      </c>
      <c r="AE11" s="139">
        <v>133.5</v>
      </c>
      <c r="AF11" s="139"/>
      <c r="AG11" s="453"/>
      <c r="AH11" s="139"/>
      <c r="AI11" s="139"/>
      <c r="AJ11" s="357" t="s">
        <v>61</v>
      </c>
      <c r="AK11" s="63" t="s">
        <v>1074</v>
      </c>
      <c r="AL11" s="1251">
        <f>SUM(AA14:AA19,AB8:AB13)</f>
        <v>1156.9000000000001</v>
      </c>
      <c r="AM11" s="856"/>
      <c r="AN11" s="15"/>
      <c r="AO11" s="15"/>
      <c r="AP11" s="45"/>
      <c r="AQ11" s="45"/>
      <c r="AR11" s="45"/>
      <c r="AS11" s="45"/>
      <c r="AT11" s="45"/>
      <c r="AU11" s="45"/>
      <c r="AV11" s="35"/>
      <c r="AW11" s="380"/>
      <c r="AX11" s="380"/>
      <c r="AY11" s="380"/>
      <c r="AZ11" s="35"/>
      <c r="BA11" s="35"/>
      <c r="BB11" s="854"/>
      <c r="BC11" s="855"/>
      <c r="BD11" s="857"/>
    </row>
    <row r="12" spans="1:56" ht="18" customHeight="1" x14ac:dyDescent="0.25">
      <c r="A12" s="363" t="s">
        <v>63</v>
      </c>
      <c r="B12" s="867"/>
      <c r="C12" s="868"/>
      <c r="D12" s="869">
        <f t="shared" si="0"/>
        <v>0</v>
      </c>
      <c r="E12" s="60"/>
      <c r="F12" s="363" t="s">
        <v>63</v>
      </c>
      <c r="G12" s="388">
        <v>486</v>
      </c>
      <c r="H12" s="60">
        <v>486</v>
      </c>
      <c r="I12" s="797">
        <f t="shared" si="1"/>
        <v>0</v>
      </c>
      <c r="J12" s="360" t="s">
        <v>63</v>
      </c>
      <c r="K12" s="139">
        <v>119.1</v>
      </c>
      <c r="L12" s="2">
        <v>115.7</v>
      </c>
      <c r="M12" s="2">
        <v>84.6</v>
      </c>
      <c r="N12" s="164">
        <v>90.5</v>
      </c>
      <c r="O12" s="139">
        <v>99.5</v>
      </c>
      <c r="P12" s="139">
        <v>141.1</v>
      </c>
      <c r="Q12" s="139">
        <v>69</v>
      </c>
      <c r="R12" s="139"/>
      <c r="S12" s="139"/>
      <c r="T12" s="139"/>
      <c r="U12" s="357" t="s">
        <v>63</v>
      </c>
      <c r="V12" s="63" t="s">
        <v>1075</v>
      </c>
      <c r="W12" s="1411">
        <f>SUM(N14:N19,O8:O13)</f>
        <v>1042.1000000000001</v>
      </c>
      <c r="X12" s="360" t="s">
        <v>63</v>
      </c>
      <c r="Y12" s="139">
        <v>146.69999999999999</v>
      </c>
      <c r="Z12" s="139">
        <v>164.8</v>
      </c>
      <c r="AA12" s="139">
        <v>112.6</v>
      </c>
      <c r="AB12" s="139">
        <v>99.7</v>
      </c>
      <c r="AC12" s="139">
        <v>135.19999999999999</v>
      </c>
      <c r="AD12" s="139">
        <v>147.4</v>
      </c>
      <c r="AE12" s="139">
        <v>127.5</v>
      </c>
      <c r="AF12" s="139"/>
      <c r="AG12" s="453"/>
      <c r="AH12" s="139"/>
      <c r="AI12" s="139"/>
      <c r="AJ12" s="357" t="s">
        <v>63</v>
      </c>
      <c r="AK12" s="63" t="s">
        <v>1075</v>
      </c>
      <c r="AL12" s="1251">
        <f>SUM(AB14:AB19,AC8:AC13)</f>
        <v>1191.8999999999999</v>
      </c>
      <c r="AM12" s="856"/>
      <c r="AN12" s="15"/>
      <c r="AO12" s="15"/>
      <c r="AP12" s="45"/>
      <c r="AQ12" s="45"/>
      <c r="AR12" s="45"/>
      <c r="AS12" s="45"/>
      <c r="AT12" s="45"/>
      <c r="AU12" s="45"/>
      <c r="AV12" s="35"/>
      <c r="AW12" s="380"/>
      <c r="AX12" s="380"/>
      <c r="AY12" s="380"/>
      <c r="AZ12" s="35"/>
      <c r="BA12" s="35"/>
      <c r="BB12" s="854"/>
      <c r="BC12" s="855"/>
      <c r="BD12" s="857"/>
    </row>
    <row r="13" spans="1:56" ht="18" customHeight="1" x14ac:dyDescent="0.25">
      <c r="A13" s="364" t="s">
        <v>65</v>
      </c>
      <c r="B13" s="870"/>
      <c r="C13" s="871"/>
      <c r="D13" s="872">
        <f t="shared" si="0"/>
        <v>0</v>
      </c>
      <c r="E13" s="60"/>
      <c r="F13" s="364" t="s">
        <v>65</v>
      </c>
      <c r="G13" s="389">
        <v>401</v>
      </c>
      <c r="H13" s="69">
        <v>401</v>
      </c>
      <c r="I13" s="798">
        <f t="shared" si="1"/>
        <v>0</v>
      </c>
      <c r="J13" s="361" t="s">
        <v>65</v>
      </c>
      <c r="K13" s="219">
        <v>130.6</v>
      </c>
      <c r="L13" s="1277">
        <v>141</v>
      </c>
      <c r="M13" s="219">
        <v>100.3</v>
      </c>
      <c r="N13" s="220">
        <v>99.8</v>
      </c>
      <c r="O13" s="219">
        <v>111.9</v>
      </c>
      <c r="P13" s="219">
        <v>176.4</v>
      </c>
      <c r="Q13" s="219">
        <v>100.6</v>
      </c>
      <c r="R13" s="219"/>
      <c r="S13" s="219"/>
      <c r="T13" s="219"/>
      <c r="U13" s="358" t="s">
        <v>65</v>
      </c>
      <c r="V13" s="63" t="s">
        <v>1076</v>
      </c>
      <c r="W13" s="1411">
        <f>SUM(O14:O19,P8:P13)</f>
        <v>1304.7</v>
      </c>
      <c r="X13" s="361" t="s">
        <v>65</v>
      </c>
      <c r="Y13" s="219">
        <v>162.80000000000001</v>
      </c>
      <c r="Z13" s="219">
        <v>152.9</v>
      </c>
      <c r="AA13" s="219">
        <v>124.8</v>
      </c>
      <c r="AB13" s="219">
        <v>123.4</v>
      </c>
      <c r="AC13" s="219">
        <v>140.30000000000001</v>
      </c>
      <c r="AD13" s="219">
        <v>181.1</v>
      </c>
      <c r="AE13" s="219">
        <v>173.8</v>
      </c>
      <c r="AF13" s="219"/>
      <c r="AG13" s="220"/>
      <c r="AH13" s="219"/>
      <c r="AI13" s="219"/>
      <c r="AJ13" s="358" t="s">
        <v>65</v>
      </c>
      <c r="AK13" s="63" t="s">
        <v>1076</v>
      </c>
      <c r="AL13" s="1251">
        <f>SUM(AC14:AC19,AD8:AD13)</f>
        <v>1602.9</v>
      </c>
      <c r="AM13" s="856"/>
      <c r="AN13" s="15"/>
      <c r="AO13" s="45"/>
      <c r="AP13" s="45"/>
      <c r="AQ13" s="45"/>
      <c r="AR13" s="45"/>
      <c r="AS13" s="45"/>
      <c r="AT13" s="45"/>
      <c r="AU13" s="45"/>
      <c r="AV13" s="35"/>
      <c r="AW13" s="380"/>
      <c r="AX13" s="380"/>
      <c r="AY13" s="380"/>
      <c r="AZ13" s="35"/>
      <c r="BA13" s="35"/>
      <c r="BB13" s="854"/>
      <c r="BC13" s="855"/>
      <c r="BD13" s="857"/>
    </row>
    <row r="14" spans="1:56" ht="18" customHeight="1" x14ac:dyDescent="0.25">
      <c r="A14" s="363" t="s">
        <v>67</v>
      </c>
      <c r="B14" s="868"/>
      <c r="C14" s="868"/>
      <c r="D14" s="869">
        <f t="shared" si="0"/>
        <v>0</v>
      </c>
      <c r="E14" s="60"/>
      <c r="F14" s="363" t="s">
        <v>67</v>
      </c>
      <c r="G14" s="60">
        <v>659</v>
      </c>
      <c r="H14" s="60">
        <v>659</v>
      </c>
      <c r="I14" s="797">
        <f t="shared" si="1"/>
        <v>0</v>
      </c>
      <c r="J14" s="360" t="s">
        <v>67</v>
      </c>
      <c r="K14" s="139">
        <v>136.6</v>
      </c>
      <c r="L14" s="2">
        <v>138.5</v>
      </c>
      <c r="M14" s="139">
        <v>93.2</v>
      </c>
      <c r="N14" s="164">
        <v>125.5</v>
      </c>
      <c r="O14" s="139">
        <v>128.1</v>
      </c>
      <c r="P14" s="139">
        <v>191.8</v>
      </c>
      <c r="Q14" s="139">
        <v>102.3</v>
      </c>
      <c r="R14" s="139"/>
      <c r="S14" s="139"/>
      <c r="T14" s="139"/>
      <c r="U14" s="357" t="s">
        <v>67</v>
      </c>
      <c r="V14" s="63" t="s">
        <v>1077</v>
      </c>
      <c r="W14" s="1411">
        <f>SUM(P14:P19,Q8:Q13)</f>
        <v>1072.6999999999998</v>
      </c>
      <c r="X14" s="360" t="s">
        <v>67</v>
      </c>
      <c r="Y14" s="139">
        <v>171.7</v>
      </c>
      <c r="Z14" s="139">
        <v>164.4</v>
      </c>
      <c r="AA14" s="139">
        <v>128</v>
      </c>
      <c r="AB14" s="139">
        <v>142.30000000000001</v>
      </c>
      <c r="AC14" s="139">
        <v>168.3</v>
      </c>
      <c r="AD14" s="139">
        <v>224.6</v>
      </c>
      <c r="AE14" s="139">
        <v>210.7</v>
      </c>
      <c r="AF14" s="139"/>
      <c r="AG14" s="453"/>
      <c r="AH14" s="139"/>
      <c r="AI14" s="139"/>
      <c r="AJ14" s="357" t="s">
        <v>67</v>
      </c>
      <c r="AK14" s="63" t="s">
        <v>1077</v>
      </c>
      <c r="AL14" s="1251">
        <f>SUM(AD14:AD19,AE8:AE13)</f>
        <v>1494.2</v>
      </c>
      <c r="AM14" s="856"/>
      <c r="AN14" s="15"/>
      <c r="AO14" s="15"/>
      <c r="AP14" s="45"/>
      <c r="AQ14" s="45"/>
      <c r="AR14" s="45"/>
      <c r="AS14" s="45"/>
      <c r="AT14" s="45"/>
      <c r="AU14" s="45"/>
      <c r="AV14" s="35"/>
      <c r="AW14" s="380"/>
      <c r="AX14" s="380"/>
      <c r="AY14" s="380"/>
      <c r="AZ14" s="35"/>
      <c r="BA14" s="35"/>
      <c r="BB14" s="854"/>
      <c r="BC14" s="855"/>
      <c r="BD14" s="857"/>
    </row>
    <row r="15" spans="1:56" ht="18" customHeight="1" x14ac:dyDescent="0.25">
      <c r="A15" s="363" t="s">
        <v>62</v>
      </c>
      <c r="B15" s="868"/>
      <c r="C15" s="868"/>
      <c r="D15" s="869">
        <f t="shared" si="0"/>
        <v>0</v>
      </c>
      <c r="E15" s="60"/>
      <c r="F15" s="363" t="s">
        <v>62</v>
      </c>
      <c r="G15" s="60">
        <v>397</v>
      </c>
      <c r="H15" s="60">
        <v>397</v>
      </c>
      <c r="I15" s="797">
        <f t="shared" si="1"/>
        <v>0</v>
      </c>
      <c r="J15" s="360" t="s">
        <v>62</v>
      </c>
      <c r="K15" s="139">
        <v>128.1</v>
      </c>
      <c r="L15" s="2">
        <v>142.19999999999999</v>
      </c>
      <c r="M15" s="139">
        <v>109.3</v>
      </c>
      <c r="N15" s="164">
        <v>122.1</v>
      </c>
      <c r="O15" s="139">
        <v>129.1</v>
      </c>
      <c r="P15" s="139">
        <v>130.6</v>
      </c>
      <c r="Q15" s="139"/>
      <c r="R15" s="139"/>
      <c r="S15" s="139"/>
      <c r="T15" s="139"/>
      <c r="U15" s="357" t="s">
        <v>62</v>
      </c>
      <c r="V15" s="63" t="s">
        <v>1078</v>
      </c>
      <c r="W15" s="1412">
        <f>SUM(Q14:Q19,R8:R14)</f>
        <v>102.3</v>
      </c>
      <c r="X15" s="360" t="s">
        <v>62</v>
      </c>
      <c r="Y15" s="139">
        <v>172.268</v>
      </c>
      <c r="Z15" s="139">
        <v>161.9</v>
      </c>
      <c r="AA15" s="139">
        <v>146.80000000000001</v>
      </c>
      <c r="AB15" s="139">
        <v>148.19999999999999</v>
      </c>
      <c r="AC15" s="139">
        <v>171.4</v>
      </c>
      <c r="AD15" s="139">
        <v>226.9</v>
      </c>
      <c r="AE15" s="139">
        <v>212.7</v>
      </c>
      <c r="AF15" s="139"/>
      <c r="AG15" s="453"/>
      <c r="AH15" s="139"/>
      <c r="AI15" s="139"/>
      <c r="AJ15" s="357" t="s">
        <v>62</v>
      </c>
      <c r="AK15" s="63" t="s">
        <v>1078</v>
      </c>
      <c r="AL15" s="1251">
        <f>SUM(AE14:AE19,AF8:AF13)</f>
        <v>613.79999999999995</v>
      </c>
      <c r="AM15" s="856"/>
      <c r="AN15" s="15"/>
      <c r="AO15" s="15"/>
      <c r="AP15" s="45"/>
      <c r="AQ15" s="45"/>
      <c r="AR15" s="45"/>
      <c r="AS15" s="45"/>
      <c r="AT15" s="45"/>
      <c r="AU15" s="45"/>
      <c r="AV15" s="35"/>
      <c r="AW15" s="380"/>
      <c r="AX15" s="380"/>
      <c r="AY15" s="380"/>
      <c r="AZ15" s="35"/>
      <c r="BA15" s="35"/>
      <c r="BB15" s="854"/>
      <c r="BC15" s="855"/>
      <c r="BD15" s="857"/>
    </row>
    <row r="16" spans="1:56" ht="18" customHeight="1" x14ac:dyDescent="0.25">
      <c r="A16" s="363" t="s">
        <v>79</v>
      </c>
      <c r="B16" s="868"/>
      <c r="C16" s="868"/>
      <c r="D16" s="869">
        <f t="shared" si="0"/>
        <v>0</v>
      </c>
      <c r="E16" s="60"/>
      <c r="F16" s="363" t="s">
        <v>79</v>
      </c>
      <c r="G16" s="60">
        <v>482</v>
      </c>
      <c r="H16" s="60">
        <v>482</v>
      </c>
      <c r="I16" s="797">
        <f t="shared" si="1"/>
        <v>0</v>
      </c>
      <c r="J16" s="360" t="s">
        <v>79</v>
      </c>
      <c r="K16" s="139">
        <v>157.4</v>
      </c>
      <c r="L16" s="2">
        <v>126.2</v>
      </c>
      <c r="M16" s="139">
        <v>98.7</v>
      </c>
      <c r="N16" s="164">
        <v>114</v>
      </c>
      <c r="O16" s="139">
        <v>110</v>
      </c>
      <c r="P16" s="139">
        <v>122.1</v>
      </c>
      <c r="Q16" s="139"/>
      <c r="R16" s="139"/>
      <c r="S16" s="139"/>
      <c r="T16" s="139"/>
      <c r="U16" s="357" t="s">
        <v>79</v>
      </c>
      <c r="V16" s="63" t="s">
        <v>1079</v>
      </c>
      <c r="W16" s="1412">
        <f>SUM(R14:R19,S8:S13)</f>
        <v>0</v>
      </c>
      <c r="X16" s="360" t="s">
        <v>79</v>
      </c>
      <c r="Y16" s="139">
        <v>158.1</v>
      </c>
      <c r="Z16" s="139">
        <v>160.19999999999999</v>
      </c>
      <c r="AA16" s="139">
        <v>131.30000000000001</v>
      </c>
      <c r="AB16" s="139">
        <v>132.30000000000001</v>
      </c>
      <c r="AC16" s="139">
        <v>168.5</v>
      </c>
      <c r="AD16" s="139">
        <v>178.8</v>
      </c>
      <c r="AE16" s="139">
        <v>190.4</v>
      </c>
      <c r="AF16" s="139"/>
      <c r="AG16" s="453"/>
      <c r="AH16" s="139"/>
      <c r="AI16" s="139"/>
      <c r="AJ16" s="357" t="s">
        <v>79</v>
      </c>
      <c r="AK16" s="63" t="s">
        <v>1079</v>
      </c>
      <c r="AL16" s="1251">
        <f>SUM(AF14:AF19,AG8:AG13)</f>
        <v>0</v>
      </c>
      <c r="AM16" s="856"/>
      <c r="AN16" s="15"/>
      <c r="AO16" s="15"/>
      <c r="AP16" s="45"/>
      <c r="AQ16" s="45"/>
      <c r="AR16" s="45"/>
      <c r="AS16" s="45"/>
      <c r="AT16" s="45"/>
      <c r="AU16" s="45"/>
      <c r="AV16" s="35"/>
      <c r="AW16" s="380"/>
      <c r="AX16" s="380"/>
      <c r="AY16" s="380"/>
      <c r="AZ16" s="35"/>
      <c r="BA16" s="35"/>
      <c r="BB16" s="854"/>
      <c r="BC16" s="855"/>
      <c r="BD16" s="857"/>
    </row>
    <row r="17" spans="1:56" ht="18" customHeight="1" x14ac:dyDescent="0.25">
      <c r="A17" s="363" t="s">
        <v>66</v>
      </c>
      <c r="B17" s="868"/>
      <c r="C17" s="868"/>
      <c r="D17" s="869">
        <f t="shared" si="0"/>
        <v>0</v>
      </c>
      <c r="E17" s="60"/>
      <c r="F17" s="363" t="s">
        <v>66</v>
      </c>
      <c r="G17" s="60">
        <v>448</v>
      </c>
      <c r="H17" s="60">
        <v>448</v>
      </c>
      <c r="I17" s="797">
        <f t="shared" si="1"/>
        <v>0</v>
      </c>
      <c r="J17" s="360" t="s">
        <v>66</v>
      </c>
      <c r="K17" s="139">
        <v>115.9</v>
      </c>
      <c r="L17" s="2">
        <v>114.3</v>
      </c>
      <c r="M17" s="1432">
        <v>86.1</v>
      </c>
      <c r="N17" s="164">
        <v>99.2</v>
      </c>
      <c r="O17" s="139">
        <v>118.8</v>
      </c>
      <c r="P17" s="139">
        <v>98.3</v>
      </c>
      <c r="Q17" s="139"/>
      <c r="R17" s="139"/>
      <c r="S17" s="139"/>
      <c r="T17" s="139"/>
      <c r="U17" s="357" t="s">
        <v>66</v>
      </c>
      <c r="V17" s="63" t="s">
        <v>1080</v>
      </c>
      <c r="W17" s="1412">
        <f>SUM(S14:S19,T8:T13)</f>
        <v>0</v>
      </c>
      <c r="X17" s="360" t="s">
        <v>66</v>
      </c>
      <c r="Y17" s="139">
        <v>136.19999999999999</v>
      </c>
      <c r="Z17" s="139">
        <v>145.1</v>
      </c>
      <c r="AA17" s="139">
        <v>119.5</v>
      </c>
      <c r="AB17" s="139">
        <v>117</v>
      </c>
      <c r="AC17" s="139">
        <v>168.2</v>
      </c>
      <c r="AD17" s="139">
        <v>131.6</v>
      </c>
      <c r="AE17" s="139"/>
      <c r="AF17" s="139"/>
      <c r="AG17" s="453"/>
      <c r="AH17" s="139"/>
      <c r="AI17" s="139"/>
      <c r="AJ17" s="357" t="s">
        <v>66</v>
      </c>
      <c r="AK17" s="63" t="s">
        <v>1080</v>
      </c>
      <c r="AL17" s="1251">
        <f>SUM(AG14:AG19,AH8:AH13)</f>
        <v>0</v>
      </c>
      <c r="AM17" s="856"/>
      <c r="AN17" s="15"/>
      <c r="AO17" s="15"/>
      <c r="AP17" s="45"/>
      <c r="AQ17" s="45"/>
      <c r="AR17" s="45"/>
      <c r="AS17" s="45"/>
      <c r="AT17" s="45"/>
      <c r="AU17" s="45"/>
      <c r="AV17" s="35"/>
      <c r="AW17" s="380"/>
      <c r="AX17" s="380"/>
      <c r="AY17" s="380"/>
      <c r="AZ17" s="35"/>
      <c r="BA17" s="35"/>
      <c r="BB17" s="854"/>
      <c r="BC17" s="855"/>
      <c r="BD17" s="857"/>
    </row>
    <row r="18" spans="1:56" ht="18" customHeight="1" x14ac:dyDescent="0.25">
      <c r="A18" s="363" t="s">
        <v>56</v>
      </c>
      <c r="B18" s="868"/>
      <c r="C18" s="868"/>
      <c r="D18" s="869">
        <f t="shared" si="0"/>
        <v>0</v>
      </c>
      <c r="E18" s="60"/>
      <c r="F18" s="363" t="s">
        <v>56</v>
      </c>
      <c r="G18" s="60">
        <v>346</v>
      </c>
      <c r="H18" s="60">
        <v>346</v>
      </c>
      <c r="I18" s="797">
        <f t="shared" si="1"/>
        <v>0</v>
      </c>
      <c r="J18" s="360" t="s">
        <v>56</v>
      </c>
      <c r="K18" s="139">
        <v>100.9</v>
      </c>
      <c r="L18" s="2">
        <v>100.2</v>
      </c>
      <c r="M18" s="1432">
        <v>85.1</v>
      </c>
      <c r="N18" s="164">
        <v>82.3</v>
      </c>
      <c r="O18" s="139">
        <v>90.4</v>
      </c>
      <c r="P18" s="139">
        <v>100.9</v>
      </c>
      <c r="Q18" s="139"/>
      <c r="R18" s="139"/>
      <c r="S18" s="139"/>
      <c r="T18" s="139"/>
      <c r="U18" s="357" t="s">
        <v>56</v>
      </c>
      <c r="V18" s="216"/>
      <c r="W18" s="744"/>
      <c r="X18" s="360" t="s">
        <v>56</v>
      </c>
      <c r="Y18" s="139">
        <v>95.9</v>
      </c>
      <c r="Z18" s="139">
        <v>92.5</v>
      </c>
      <c r="AA18" s="139">
        <v>92.7</v>
      </c>
      <c r="AB18" s="139">
        <v>82.3</v>
      </c>
      <c r="AC18" s="139">
        <v>120.6</v>
      </c>
      <c r="AD18" s="139">
        <v>115.1</v>
      </c>
      <c r="AE18" s="139"/>
      <c r="AF18" s="139"/>
      <c r="AG18" s="453"/>
      <c r="AH18" s="139"/>
      <c r="AI18" s="139"/>
      <c r="AJ18" s="357" t="s">
        <v>56</v>
      </c>
      <c r="AK18" s="63" t="s">
        <v>1081</v>
      </c>
      <c r="AL18" s="1251">
        <f>SUM(AH14:AH19,AI8:AI13)</f>
        <v>0</v>
      </c>
      <c r="AM18" s="856"/>
      <c r="AN18" s="15"/>
      <c r="AO18" s="15"/>
      <c r="AP18" s="45"/>
      <c r="AQ18" s="45"/>
      <c r="AR18" s="45"/>
      <c r="AS18" s="45"/>
      <c r="AT18" s="45"/>
      <c r="AU18" s="45"/>
      <c r="AV18" s="35"/>
      <c r="AW18" s="380"/>
      <c r="AX18" s="380"/>
      <c r="AY18" s="380"/>
      <c r="AZ18" s="35"/>
      <c r="BA18" s="35"/>
      <c r="BB18" s="854"/>
      <c r="BC18" s="855"/>
      <c r="BD18" s="857"/>
    </row>
    <row r="19" spans="1:56" ht="18" customHeight="1" x14ac:dyDescent="0.25">
      <c r="A19" s="364" t="s">
        <v>59</v>
      </c>
      <c r="B19" s="871"/>
      <c r="C19" s="871"/>
      <c r="D19" s="872">
        <f t="shared" si="0"/>
        <v>0</v>
      </c>
      <c r="E19" s="60"/>
      <c r="F19" s="364" t="s">
        <v>59</v>
      </c>
      <c r="G19" s="69">
        <v>337</v>
      </c>
      <c r="H19" s="69">
        <v>337</v>
      </c>
      <c r="I19" s="798">
        <f t="shared" si="1"/>
        <v>0</v>
      </c>
      <c r="J19" s="361" t="s">
        <v>59</v>
      </c>
      <c r="K19" s="219">
        <v>79.400000000000006</v>
      </c>
      <c r="L19" s="16">
        <v>41.4</v>
      </c>
      <c r="M19" s="1451">
        <v>69</v>
      </c>
      <c r="N19" s="220">
        <v>59.5</v>
      </c>
      <c r="O19" s="219">
        <v>90.1</v>
      </c>
      <c r="P19" s="219">
        <v>54.9</v>
      </c>
      <c r="Q19" s="219"/>
      <c r="R19" s="219"/>
      <c r="S19" s="219"/>
      <c r="T19" s="219"/>
      <c r="U19" s="358" t="s">
        <v>59</v>
      </c>
      <c r="V19" s="1408"/>
      <c r="W19" s="1409"/>
      <c r="X19" s="361" t="s">
        <v>59</v>
      </c>
      <c r="Y19" s="219">
        <v>87.4</v>
      </c>
      <c r="Z19" s="219">
        <v>39</v>
      </c>
      <c r="AA19" s="219">
        <v>71.8</v>
      </c>
      <c r="AB19" s="219">
        <v>55.8</v>
      </c>
      <c r="AC19" s="219">
        <v>127.9</v>
      </c>
      <c r="AD19" s="219">
        <v>48.9</v>
      </c>
      <c r="AE19" s="219"/>
      <c r="AF19" s="219"/>
      <c r="AG19" s="220"/>
      <c r="AH19" s="219"/>
      <c r="AI19" s="219"/>
      <c r="AJ19" s="358" t="s">
        <v>59</v>
      </c>
      <c r="AK19" s="419"/>
      <c r="AL19" s="1419"/>
      <c r="AM19" s="856"/>
      <c r="AN19" s="15"/>
      <c r="AO19" s="15"/>
      <c r="AP19" s="45"/>
      <c r="AQ19" s="45"/>
      <c r="AR19" s="45"/>
      <c r="AS19" s="45"/>
      <c r="AT19" s="45"/>
      <c r="AU19" s="45"/>
      <c r="AV19" s="35"/>
      <c r="AW19" s="380"/>
      <c r="AX19" s="380"/>
      <c r="AY19" s="380"/>
      <c r="AZ19" s="35"/>
      <c r="BA19" s="35"/>
      <c r="BB19" s="854"/>
      <c r="BC19" s="855"/>
      <c r="BD19" s="15"/>
    </row>
    <row r="20" spans="1:56" ht="18" customHeight="1" x14ac:dyDescent="0.25">
      <c r="B20" s="573">
        <f>SUM(B8:B19)</f>
        <v>0</v>
      </c>
      <c r="C20" s="573">
        <f>SUM(C8:C19)</f>
        <v>0</v>
      </c>
      <c r="D20" s="36">
        <f t="shared" si="0"/>
        <v>0</v>
      </c>
      <c r="E20" s="75"/>
      <c r="F20" s="2"/>
      <c r="G20" s="573">
        <f>SUM(G8:G19)</f>
        <v>4827</v>
      </c>
      <c r="H20" s="573">
        <f>SUM(H8:H19)</f>
        <v>4827</v>
      </c>
      <c r="I20" s="36">
        <f t="shared" si="1"/>
        <v>0</v>
      </c>
      <c r="J20" s="138"/>
      <c r="K20" s="137">
        <f>SUM(K8:K19)</f>
        <v>1271.9000000000003</v>
      </c>
      <c r="L20" s="137">
        <f t="shared" ref="L20:T20" si="2">SUM(L8:L19)</f>
        <v>1257.9000000000001</v>
      </c>
      <c r="M20" s="137">
        <f t="shared" si="2"/>
        <v>1031.7</v>
      </c>
      <c r="N20" s="137">
        <f t="shared" si="2"/>
        <v>1033.4000000000001</v>
      </c>
      <c r="O20" s="137">
        <f t="shared" si="2"/>
        <v>1106</v>
      </c>
      <c r="P20" s="137">
        <f t="shared" si="2"/>
        <v>1336.8000000000002</v>
      </c>
      <c r="Q20" s="137">
        <f t="shared" si="2"/>
        <v>476.40000000000003</v>
      </c>
      <c r="R20" s="137">
        <f t="shared" si="2"/>
        <v>0</v>
      </c>
      <c r="S20" s="137">
        <f t="shared" si="2"/>
        <v>0</v>
      </c>
      <c r="T20" s="137">
        <f t="shared" si="2"/>
        <v>0</v>
      </c>
      <c r="V20" s="15"/>
      <c r="W20" s="2" t="s">
        <v>4</v>
      </c>
      <c r="X20" s="10"/>
      <c r="Y20" s="137">
        <f>SUM(Y8:Y19)</f>
        <v>1469.4680000000001</v>
      </c>
      <c r="Z20" s="137">
        <f>SUM(Z8:Z19)</f>
        <v>1473</v>
      </c>
      <c r="AA20" s="137">
        <f>SUM(AA8:AA19)</f>
        <v>1265.6999999999998</v>
      </c>
      <c r="AB20" s="137">
        <f t="shared" ref="AB20:AE20" si="3">SUM(AB8:AB19)</f>
        <v>1144.6999999999998</v>
      </c>
      <c r="AC20" s="137">
        <f t="shared" si="3"/>
        <v>1438.8999999999999</v>
      </c>
      <c r="AD20" s="137">
        <f t="shared" si="3"/>
        <v>1603.8999999999999</v>
      </c>
      <c r="AE20" s="137">
        <f t="shared" si="3"/>
        <v>1182.1000000000001</v>
      </c>
      <c r="AF20" s="137">
        <f>SUM(AF8:AF19)</f>
        <v>0</v>
      </c>
      <c r="AG20" s="137">
        <f t="shared" ref="AG20:AI20" si="4">SUM(AG8:AG19)</f>
        <v>0</v>
      </c>
      <c r="AH20" s="137">
        <f t="shared" si="4"/>
        <v>0</v>
      </c>
      <c r="AI20" s="137">
        <f t="shared" si="4"/>
        <v>0</v>
      </c>
      <c r="AK20" s="15"/>
      <c r="AM20" s="856"/>
      <c r="AN20" s="4"/>
      <c r="AO20" s="846"/>
      <c r="AP20" s="846"/>
      <c r="AQ20" s="846"/>
      <c r="AR20" s="846"/>
      <c r="AS20" s="846"/>
      <c r="AT20" s="846"/>
      <c r="AU20" s="846"/>
      <c r="AV20" s="846"/>
      <c r="AW20" s="846"/>
      <c r="AX20" s="846"/>
      <c r="AY20" s="846"/>
      <c r="AZ20" s="846"/>
      <c r="BA20" s="846"/>
      <c r="BB20" s="846"/>
      <c r="BC20" s="15"/>
      <c r="BD20" s="15"/>
    </row>
    <row r="21" spans="1:56" ht="18" customHeight="1" x14ac:dyDescent="0.25">
      <c r="B21" s="573"/>
      <c r="C21" s="573"/>
      <c r="D21" s="36"/>
      <c r="E21" s="75"/>
      <c r="F21" s="2"/>
      <c r="G21" s="573"/>
      <c r="H21" s="573"/>
      <c r="I21" s="36"/>
      <c r="J21" s="138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V21" s="15"/>
      <c r="X21" s="10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K21" s="15"/>
      <c r="AM21" s="117"/>
      <c r="AN21" s="1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846"/>
    </row>
    <row r="22" spans="1:56" ht="18" customHeight="1" x14ac:dyDescent="0.3">
      <c r="A22" s="224">
        <v>2012</v>
      </c>
      <c r="F22" s="224">
        <v>2011</v>
      </c>
      <c r="G22" s="2"/>
      <c r="H22" s="2"/>
      <c r="I22" s="2"/>
      <c r="X22" s="10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K22" s="15"/>
    </row>
    <row r="23" spans="1:56" ht="18" customHeight="1" x14ac:dyDescent="0.25">
      <c r="A23" s="106"/>
      <c r="B23" s="5" t="s">
        <v>568</v>
      </c>
      <c r="C23" s="5" t="s">
        <v>908</v>
      </c>
      <c r="D23" s="5" t="s">
        <v>596</v>
      </c>
      <c r="E23" s="791"/>
      <c r="F23" s="106"/>
      <c r="G23" s="5" t="s">
        <v>568</v>
      </c>
      <c r="H23" s="5" t="s">
        <v>908</v>
      </c>
      <c r="I23" s="5" t="s">
        <v>596</v>
      </c>
      <c r="X23" s="10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K23" s="15"/>
    </row>
    <row r="24" spans="1:56" ht="18" customHeight="1" x14ac:dyDescent="0.25">
      <c r="A24" s="362" t="s">
        <v>54</v>
      </c>
      <c r="B24" s="387">
        <v>507</v>
      </c>
      <c r="C24" s="365">
        <v>286</v>
      </c>
      <c r="D24" s="796">
        <f>B24-C24</f>
        <v>221</v>
      </c>
      <c r="E24" s="60"/>
      <c r="F24" s="362" t="s">
        <v>54</v>
      </c>
      <c r="G24" s="387">
        <v>234</v>
      </c>
      <c r="H24" s="365">
        <v>213</v>
      </c>
      <c r="I24" s="796">
        <f>G24-H24</f>
        <v>21</v>
      </c>
      <c r="J24" s="199"/>
      <c r="K24" s="1252">
        <v>2003</v>
      </c>
      <c r="L24" s="1252">
        <v>2004</v>
      </c>
      <c r="M24" s="1252">
        <v>2005</v>
      </c>
      <c r="N24" s="1252">
        <v>2006</v>
      </c>
      <c r="O24" s="1252">
        <v>2007</v>
      </c>
      <c r="P24" s="1252">
        <v>2008</v>
      </c>
      <c r="Q24" s="1252">
        <v>2009</v>
      </c>
      <c r="R24" s="1252">
        <v>2010</v>
      </c>
      <c r="S24" s="1252">
        <v>2011</v>
      </c>
      <c r="T24" s="1252">
        <v>2012</v>
      </c>
      <c r="U24" s="94"/>
      <c r="V24" s="1696" t="s">
        <v>541</v>
      </c>
      <c r="W24" s="1696"/>
      <c r="X24" s="78"/>
      <c r="Y24" s="1252">
        <v>2002</v>
      </c>
      <c r="Z24" s="1252">
        <v>2003</v>
      </c>
      <c r="AA24" s="1252">
        <v>2004</v>
      </c>
      <c r="AB24" s="1252">
        <v>2005</v>
      </c>
      <c r="AC24" s="1252">
        <v>2006</v>
      </c>
      <c r="AD24" s="1252">
        <v>2007</v>
      </c>
      <c r="AE24" s="1252">
        <v>2008</v>
      </c>
      <c r="AF24" s="1252">
        <v>2009</v>
      </c>
      <c r="AG24" s="1253">
        <v>2010</v>
      </c>
      <c r="AH24" s="1252">
        <v>2011</v>
      </c>
      <c r="AI24" s="1252">
        <v>2012</v>
      </c>
      <c r="AJ24" s="94"/>
      <c r="AK24" s="1696" t="s">
        <v>541</v>
      </c>
      <c r="AL24" s="1697"/>
    </row>
    <row r="25" spans="1:56" ht="18" customHeight="1" x14ac:dyDescent="0.25">
      <c r="A25" s="363" t="s">
        <v>55</v>
      </c>
      <c r="B25" s="388">
        <v>401</v>
      </c>
      <c r="C25" s="60">
        <v>270</v>
      </c>
      <c r="D25" s="797">
        <f t="shared" ref="D25:D36" si="5">B25-C25</f>
        <v>131</v>
      </c>
      <c r="E25" s="60"/>
      <c r="F25" s="363" t="s">
        <v>55</v>
      </c>
      <c r="G25" s="388">
        <v>283</v>
      </c>
      <c r="H25" s="60">
        <v>283</v>
      </c>
      <c r="I25" s="797">
        <f t="shared" ref="I25:I36" si="6">G25-H25</f>
        <v>0</v>
      </c>
      <c r="J25" s="359" t="s">
        <v>54</v>
      </c>
      <c r="K25" s="354">
        <v>98.7</v>
      </c>
      <c r="L25" s="354">
        <v>92.6</v>
      </c>
      <c r="M25" s="355">
        <v>52.6</v>
      </c>
      <c r="N25" s="354">
        <v>80</v>
      </c>
      <c r="O25" s="354">
        <v>111.6</v>
      </c>
      <c r="P25" s="354">
        <v>68.414000000000001</v>
      </c>
      <c r="Q25" s="354">
        <v>97.9</v>
      </c>
      <c r="R25" s="354">
        <v>64.2</v>
      </c>
      <c r="S25" s="354">
        <v>68.3</v>
      </c>
      <c r="T25" s="354">
        <v>81.8</v>
      </c>
      <c r="U25" s="356" t="s">
        <v>54</v>
      </c>
      <c r="V25" s="63" t="s">
        <v>1082</v>
      </c>
      <c r="W25" s="1410">
        <f>SUM(T48:T53,K25:K30)</f>
        <v>1426.6239999999998</v>
      </c>
      <c r="X25" s="359" t="s">
        <v>54</v>
      </c>
      <c r="Y25" s="354">
        <v>43.4</v>
      </c>
      <c r="Z25" s="354">
        <v>55.3</v>
      </c>
      <c r="AA25" s="354">
        <v>50.4</v>
      </c>
      <c r="AB25" s="354">
        <v>32.799999999999997</v>
      </c>
      <c r="AC25" s="354">
        <v>57</v>
      </c>
      <c r="AD25" s="354">
        <v>84.4</v>
      </c>
      <c r="AE25" s="354">
        <v>45.9</v>
      </c>
      <c r="AF25" s="354">
        <v>65.156099999999995</v>
      </c>
      <c r="AG25" s="453">
        <v>44.8</v>
      </c>
      <c r="AH25" s="354">
        <v>49.6</v>
      </c>
      <c r="AI25" s="354">
        <v>70.900000000000006</v>
      </c>
      <c r="AJ25" s="356" t="s">
        <v>54</v>
      </c>
      <c r="AK25" s="63" t="s">
        <v>1085</v>
      </c>
      <c r="AL25" s="1412">
        <f>SUM(AI48:AI53,Y25:Y30)</f>
        <v>1101.5999999999999</v>
      </c>
    </row>
    <row r="26" spans="1:56" ht="18" customHeight="1" x14ac:dyDescent="0.25">
      <c r="A26" s="363" t="s">
        <v>58</v>
      </c>
      <c r="B26" s="388">
        <v>362</v>
      </c>
      <c r="C26" s="60">
        <v>270</v>
      </c>
      <c r="D26" s="797">
        <f t="shared" si="5"/>
        <v>92</v>
      </c>
      <c r="E26" s="60"/>
      <c r="F26" s="363" t="s">
        <v>58</v>
      </c>
      <c r="G26" s="388">
        <v>218</v>
      </c>
      <c r="H26" s="60">
        <v>215</v>
      </c>
      <c r="I26" s="797">
        <f t="shared" si="6"/>
        <v>3</v>
      </c>
      <c r="J26" s="360" t="s">
        <v>55</v>
      </c>
      <c r="K26" s="139">
        <v>69.3</v>
      </c>
      <c r="L26" s="139">
        <v>73.2</v>
      </c>
      <c r="M26" s="164">
        <v>56.7</v>
      </c>
      <c r="N26" s="139">
        <v>92.1</v>
      </c>
      <c r="O26" s="139">
        <v>62.7</v>
      </c>
      <c r="P26" s="139">
        <v>64.924000000000007</v>
      </c>
      <c r="Q26" s="139">
        <v>50.2</v>
      </c>
      <c r="R26" s="139">
        <v>41.2</v>
      </c>
      <c r="S26" s="139">
        <v>54.5</v>
      </c>
      <c r="T26" s="139">
        <v>74.5</v>
      </c>
      <c r="U26" s="357" t="s">
        <v>55</v>
      </c>
      <c r="V26" s="63" t="s">
        <v>1083</v>
      </c>
      <c r="W26" s="1411">
        <f>SUM(K31:K36,L25:L30)</f>
        <v>1553.0480000000002</v>
      </c>
      <c r="X26" s="360" t="s">
        <v>55</v>
      </c>
      <c r="Y26" s="139">
        <v>47.3</v>
      </c>
      <c r="Z26" s="139">
        <v>46.8</v>
      </c>
      <c r="AA26" s="139">
        <v>45.3</v>
      </c>
      <c r="AB26" s="139">
        <v>39.700000000000003</v>
      </c>
      <c r="AC26" s="139">
        <v>71.599999999999994</v>
      </c>
      <c r="AD26" s="139">
        <v>43.6</v>
      </c>
      <c r="AE26" s="139">
        <v>45.5</v>
      </c>
      <c r="AF26" s="139">
        <v>35.291600000000003</v>
      </c>
      <c r="AG26" s="453">
        <v>27.2</v>
      </c>
      <c r="AH26" s="139">
        <v>52</v>
      </c>
      <c r="AI26" s="139">
        <v>73.400000000000006</v>
      </c>
      <c r="AJ26" s="357" t="s">
        <v>55</v>
      </c>
      <c r="AK26" s="63" t="s">
        <v>1082</v>
      </c>
      <c r="AL26" s="1412">
        <f>SUM(Y31:Y36,Z25:Z30)</f>
        <v>1029.5</v>
      </c>
    </row>
    <row r="27" spans="1:56" ht="18" customHeight="1" x14ac:dyDescent="0.25">
      <c r="A27" s="363" t="s">
        <v>61</v>
      </c>
      <c r="B27" s="388">
        <v>434</v>
      </c>
      <c r="C27" s="60">
        <v>332</v>
      </c>
      <c r="D27" s="797">
        <f t="shared" si="5"/>
        <v>102</v>
      </c>
      <c r="E27" s="60"/>
      <c r="F27" s="363" t="s">
        <v>61</v>
      </c>
      <c r="G27" s="388">
        <v>321</v>
      </c>
      <c r="H27" s="60">
        <v>336</v>
      </c>
      <c r="I27" s="797">
        <f t="shared" si="6"/>
        <v>-15</v>
      </c>
      <c r="J27" s="360" t="s">
        <v>58</v>
      </c>
      <c r="K27" s="139">
        <v>75</v>
      </c>
      <c r="L27" s="139">
        <v>96.5</v>
      </c>
      <c r="M27" s="164">
        <v>57.1</v>
      </c>
      <c r="N27" s="139">
        <v>54.4</v>
      </c>
      <c r="O27" s="139">
        <v>116.6</v>
      </c>
      <c r="P27" s="139">
        <v>106</v>
      </c>
      <c r="Q27" s="139">
        <v>87</v>
      </c>
      <c r="R27" s="139">
        <v>63.2</v>
      </c>
      <c r="S27" s="139">
        <v>52.9</v>
      </c>
      <c r="T27" s="139">
        <v>69</v>
      </c>
      <c r="U27" s="357" t="s">
        <v>58</v>
      </c>
      <c r="V27" s="63" t="s">
        <v>1084</v>
      </c>
      <c r="W27" s="1411">
        <f>SUM(L31:L36,M25:M30)</f>
        <v>1380.9999999999998</v>
      </c>
      <c r="X27" s="360" t="s">
        <v>58</v>
      </c>
      <c r="Y27" s="139">
        <v>83.6</v>
      </c>
      <c r="Z27" s="139">
        <v>55.2</v>
      </c>
      <c r="AA27" s="139">
        <v>71.5</v>
      </c>
      <c r="AB27" s="139">
        <v>40.4</v>
      </c>
      <c r="AC27" s="139">
        <v>43.7</v>
      </c>
      <c r="AD27" s="139">
        <v>93.1</v>
      </c>
      <c r="AE27" s="139">
        <v>111.5</v>
      </c>
      <c r="AF27" s="139">
        <v>84.935699999999997</v>
      </c>
      <c r="AG27" s="453">
        <v>65.7</v>
      </c>
      <c r="AH27" s="139">
        <v>46.5</v>
      </c>
      <c r="AI27" s="139">
        <v>69.2</v>
      </c>
      <c r="AJ27" s="357" t="s">
        <v>58</v>
      </c>
      <c r="AK27" s="63" t="s">
        <v>1083</v>
      </c>
      <c r="AL27" s="1412">
        <f>SUM(Z31:Z36,AA25:AA30)</f>
        <v>1175.5999999999999</v>
      </c>
    </row>
    <row r="28" spans="1:56" ht="18" customHeight="1" x14ac:dyDescent="0.25">
      <c r="A28" s="363" t="s">
        <v>63</v>
      </c>
      <c r="B28" s="388">
        <v>673</v>
      </c>
      <c r="C28" s="60">
        <v>391</v>
      </c>
      <c r="D28" s="797">
        <f t="shared" si="5"/>
        <v>282</v>
      </c>
      <c r="E28" s="60"/>
      <c r="F28" s="363" t="s">
        <v>63</v>
      </c>
      <c r="G28" s="388">
        <v>421</v>
      </c>
      <c r="H28" s="60">
        <v>421</v>
      </c>
      <c r="I28" s="797">
        <f t="shared" si="6"/>
        <v>0</v>
      </c>
      <c r="J28" s="360" t="s">
        <v>61</v>
      </c>
      <c r="K28" s="139">
        <v>111.4</v>
      </c>
      <c r="L28" s="139">
        <v>126.7</v>
      </c>
      <c r="M28" s="164">
        <v>121.1</v>
      </c>
      <c r="N28" s="139">
        <v>71.8</v>
      </c>
      <c r="O28" s="139">
        <v>108</v>
      </c>
      <c r="P28" s="139">
        <v>129.30000000000001</v>
      </c>
      <c r="Q28" s="139">
        <v>107.2</v>
      </c>
      <c r="R28" s="139">
        <v>76.8</v>
      </c>
      <c r="S28" s="139">
        <v>77.900000000000006</v>
      </c>
      <c r="T28" s="139">
        <v>67.900000000000006</v>
      </c>
      <c r="U28" s="357" t="s">
        <v>61</v>
      </c>
      <c r="V28" s="63" t="s">
        <v>1064</v>
      </c>
      <c r="W28" s="1411">
        <f>SUM(M31:M36,N25:N30)</f>
        <v>1421.7</v>
      </c>
      <c r="X28" s="360" t="s">
        <v>61</v>
      </c>
      <c r="Y28" s="139">
        <v>75.5</v>
      </c>
      <c r="Z28" s="139">
        <v>83.4</v>
      </c>
      <c r="AA28" s="139">
        <v>96.7</v>
      </c>
      <c r="AB28" s="139">
        <v>100.8</v>
      </c>
      <c r="AC28" s="139">
        <v>52.7</v>
      </c>
      <c r="AD28" s="139">
        <v>109</v>
      </c>
      <c r="AE28" s="139">
        <v>144.4</v>
      </c>
      <c r="AF28" s="139">
        <v>120.2433</v>
      </c>
      <c r="AG28" s="453">
        <v>78.3</v>
      </c>
      <c r="AH28" s="139">
        <v>83</v>
      </c>
      <c r="AI28" s="139">
        <v>72.099999999999994</v>
      </c>
      <c r="AJ28" s="357" t="s">
        <v>61</v>
      </c>
      <c r="AK28" s="63" t="s">
        <v>1084</v>
      </c>
      <c r="AL28" s="1412">
        <f>SUM(AA31:AA36,AB25:AB30)</f>
        <v>1140.1999999999998</v>
      </c>
    </row>
    <row r="29" spans="1:56" ht="18" customHeight="1" x14ac:dyDescent="0.25">
      <c r="A29" s="364" t="s">
        <v>65</v>
      </c>
      <c r="B29" s="389">
        <v>787</v>
      </c>
      <c r="C29" s="69">
        <v>480</v>
      </c>
      <c r="D29" s="798">
        <f t="shared" si="5"/>
        <v>307</v>
      </c>
      <c r="E29" s="60"/>
      <c r="F29" s="364" t="s">
        <v>65</v>
      </c>
      <c r="G29" s="389">
        <v>467</v>
      </c>
      <c r="H29" s="69">
        <v>453</v>
      </c>
      <c r="I29" s="798">
        <f t="shared" si="6"/>
        <v>14</v>
      </c>
      <c r="J29" s="360" t="s">
        <v>63</v>
      </c>
      <c r="K29" s="139">
        <v>120.8</v>
      </c>
      <c r="L29" s="139">
        <v>157.80000000000001</v>
      </c>
      <c r="M29" s="164">
        <v>129.1</v>
      </c>
      <c r="N29" s="139">
        <v>115.7</v>
      </c>
      <c r="O29" s="139">
        <v>153.80000000000001</v>
      </c>
      <c r="P29" s="139">
        <v>139.69999999999999</v>
      </c>
      <c r="Q29" s="139">
        <v>140.19999999999999</v>
      </c>
      <c r="R29" s="139">
        <v>108.6</v>
      </c>
      <c r="S29" s="139">
        <v>105.1</v>
      </c>
      <c r="T29" s="139">
        <v>100.8</v>
      </c>
      <c r="U29" s="357" t="s">
        <v>63</v>
      </c>
      <c r="V29" s="63" t="s">
        <v>1065</v>
      </c>
      <c r="W29" s="1411">
        <f>SUM(N31:N36,O25:O30)</f>
        <v>1623.3759999999997</v>
      </c>
      <c r="X29" s="360" t="s">
        <v>63</v>
      </c>
      <c r="Y29" s="139">
        <v>107.8</v>
      </c>
      <c r="Z29" s="139">
        <v>86.6</v>
      </c>
      <c r="AA29" s="139">
        <v>143.9</v>
      </c>
      <c r="AB29" s="139">
        <v>115</v>
      </c>
      <c r="AC29" s="139">
        <v>112.2</v>
      </c>
      <c r="AD29" s="139">
        <v>147.5</v>
      </c>
      <c r="AE29" s="139">
        <v>151</v>
      </c>
      <c r="AF29" s="139">
        <v>147.09829999999999</v>
      </c>
      <c r="AG29" s="453">
        <v>130.5</v>
      </c>
      <c r="AH29" s="139">
        <v>124.4</v>
      </c>
      <c r="AI29" s="139">
        <v>133.4</v>
      </c>
      <c r="AJ29" s="357" t="s">
        <v>63</v>
      </c>
      <c r="AK29" s="63" t="s">
        <v>1064</v>
      </c>
      <c r="AL29" s="1412">
        <f>SUM(AB31:AB36,AC25:AC30)</f>
        <v>1260.8999999999999</v>
      </c>
    </row>
    <row r="30" spans="1:56" ht="18" customHeight="1" x14ac:dyDescent="0.25">
      <c r="A30" s="363" t="s">
        <v>67</v>
      </c>
      <c r="B30" s="60">
        <v>720</v>
      </c>
      <c r="C30" s="60">
        <v>464</v>
      </c>
      <c r="D30" s="797">
        <f t="shared" si="5"/>
        <v>256</v>
      </c>
      <c r="E30" s="60"/>
      <c r="F30" s="363" t="s">
        <v>67</v>
      </c>
      <c r="G30" s="60">
        <v>489</v>
      </c>
      <c r="H30" s="60">
        <v>489</v>
      </c>
      <c r="I30" s="797">
        <f t="shared" si="6"/>
        <v>0</v>
      </c>
      <c r="J30" s="361" t="s">
        <v>65</v>
      </c>
      <c r="K30" s="219">
        <v>119.59</v>
      </c>
      <c r="L30" s="219">
        <v>149.6</v>
      </c>
      <c r="M30" s="220">
        <v>141.6</v>
      </c>
      <c r="N30" s="219">
        <v>148.9</v>
      </c>
      <c r="O30" s="219">
        <v>162.5</v>
      </c>
      <c r="P30" s="219">
        <v>163.80000000000001</v>
      </c>
      <c r="Q30" s="219">
        <v>118.854</v>
      </c>
      <c r="R30" s="219">
        <v>112.4</v>
      </c>
      <c r="S30" s="219">
        <v>103.7</v>
      </c>
      <c r="T30" s="219">
        <v>118.6</v>
      </c>
      <c r="U30" s="358" t="s">
        <v>65</v>
      </c>
      <c r="V30" s="63" t="s">
        <v>1066</v>
      </c>
      <c r="W30" s="1411">
        <f>SUM(O31:O36,P25:P30)</f>
        <v>1564.4010000000001</v>
      </c>
      <c r="X30" s="361" t="s">
        <v>65</v>
      </c>
      <c r="Y30" s="219">
        <v>139.5</v>
      </c>
      <c r="Z30" s="219">
        <v>104.6</v>
      </c>
      <c r="AA30" s="219">
        <v>134.69999999999999</v>
      </c>
      <c r="AB30" s="219">
        <v>126.6</v>
      </c>
      <c r="AC30" s="219">
        <v>154.30000000000001</v>
      </c>
      <c r="AD30" s="219">
        <v>161.4</v>
      </c>
      <c r="AE30" s="219">
        <v>188.7</v>
      </c>
      <c r="AF30" s="219">
        <v>120.05500000000001</v>
      </c>
      <c r="AG30" s="220">
        <v>136.1</v>
      </c>
      <c r="AH30" s="219">
        <v>119.5</v>
      </c>
      <c r="AI30" s="219">
        <v>149.5</v>
      </c>
      <c r="AJ30" s="358" t="s">
        <v>65</v>
      </c>
      <c r="AK30" s="63" t="s">
        <v>1065</v>
      </c>
      <c r="AL30" s="1412">
        <f>SUM(AC31:AC36,AD25:AD30)</f>
        <v>1479.7000000000003</v>
      </c>
    </row>
    <row r="31" spans="1:56" ht="18" customHeight="1" x14ac:dyDescent="0.25">
      <c r="A31" s="363" t="s">
        <v>62</v>
      </c>
      <c r="B31" s="60">
        <v>989</v>
      </c>
      <c r="C31" s="60">
        <v>671</v>
      </c>
      <c r="D31" s="797">
        <f t="shared" si="5"/>
        <v>318</v>
      </c>
      <c r="E31" s="60"/>
      <c r="F31" s="363" t="s">
        <v>62</v>
      </c>
      <c r="G31" s="60">
        <v>514</v>
      </c>
      <c r="H31" s="60">
        <v>470</v>
      </c>
      <c r="I31" s="797">
        <f t="shared" si="6"/>
        <v>44</v>
      </c>
      <c r="J31" s="360" t="s">
        <v>67</v>
      </c>
      <c r="K31" s="139">
        <v>164.66</v>
      </c>
      <c r="L31" s="139">
        <v>180.5</v>
      </c>
      <c r="M31" s="164">
        <v>198.5</v>
      </c>
      <c r="N31" s="139">
        <v>193.9</v>
      </c>
      <c r="O31" s="139">
        <v>193.9</v>
      </c>
      <c r="P31" s="139">
        <v>181.5</v>
      </c>
      <c r="Q31" s="139">
        <v>145.69999999999999</v>
      </c>
      <c r="R31" s="139">
        <v>138.5</v>
      </c>
      <c r="S31" s="139">
        <v>137.1</v>
      </c>
      <c r="T31" s="139">
        <v>140.5</v>
      </c>
      <c r="U31" s="357" t="s">
        <v>67</v>
      </c>
      <c r="V31" s="63" t="s">
        <v>1067</v>
      </c>
      <c r="W31" s="1411">
        <f>SUM(P31:P36,Q25:Q30)</f>
        <v>1468.0540000000003</v>
      </c>
      <c r="X31" s="360" t="s">
        <v>67</v>
      </c>
      <c r="Y31" s="139">
        <v>140.5</v>
      </c>
      <c r="Z31" s="139">
        <v>138.80000000000001</v>
      </c>
      <c r="AA31" s="139">
        <v>161.6</v>
      </c>
      <c r="AB31" s="139">
        <v>187.4</v>
      </c>
      <c r="AC31" s="139">
        <v>192.7</v>
      </c>
      <c r="AD31" s="139">
        <v>200.9</v>
      </c>
      <c r="AE31" s="139">
        <v>210.2</v>
      </c>
      <c r="AF31" s="139">
        <v>178.60650000000001</v>
      </c>
      <c r="AG31" s="453">
        <v>151.19999999999999</v>
      </c>
      <c r="AH31" s="139">
        <v>157.69999999999999</v>
      </c>
      <c r="AI31" s="139">
        <v>164</v>
      </c>
      <c r="AJ31" s="357" t="s">
        <v>67</v>
      </c>
      <c r="AK31" s="63" t="s">
        <v>1066</v>
      </c>
      <c r="AL31" s="1412">
        <f>SUM(AD31:AD36,AE25:AE30)</f>
        <v>1582.3100000000002</v>
      </c>
    </row>
    <row r="32" spans="1:56" ht="18" customHeight="1" x14ac:dyDescent="0.25">
      <c r="A32" s="363" t="s">
        <v>79</v>
      </c>
      <c r="B32" s="60">
        <v>471</v>
      </c>
      <c r="C32" s="60">
        <v>471</v>
      </c>
      <c r="D32" s="797">
        <f t="shared" si="5"/>
        <v>0</v>
      </c>
      <c r="E32" s="60"/>
      <c r="F32" s="363" t="s">
        <v>79</v>
      </c>
      <c r="G32" s="60">
        <v>549</v>
      </c>
      <c r="H32" s="60">
        <v>432</v>
      </c>
      <c r="I32" s="797">
        <f t="shared" si="6"/>
        <v>117</v>
      </c>
      <c r="J32" s="360" t="s">
        <v>62</v>
      </c>
      <c r="K32" s="139">
        <v>179.2</v>
      </c>
      <c r="L32" s="139">
        <v>175.4</v>
      </c>
      <c r="M32" s="164">
        <v>166.1</v>
      </c>
      <c r="N32" s="139">
        <v>173.1</v>
      </c>
      <c r="O32" s="139">
        <v>182.97499999999999</v>
      </c>
      <c r="P32" s="139">
        <v>182.6</v>
      </c>
      <c r="Q32" s="139">
        <v>147.19999999999999</v>
      </c>
      <c r="R32" s="139">
        <v>134.6</v>
      </c>
      <c r="S32" s="139">
        <v>134.80000000000001</v>
      </c>
      <c r="T32" s="139">
        <v>153.4</v>
      </c>
      <c r="U32" s="357" t="s">
        <v>62</v>
      </c>
      <c r="V32" s="63" t="s">
        <v>1068</v>
      </c>
      <c r="W32" s="1411">
        <f>SUM(Q31:Q36,R25:R30)</f>
        <v>1196.4000000000001</v>
      </c>
      <c r="X32" s="360" t="s">
        <v>62</v>
      </c>
      <c r="Y32" s="139">
        <v>133.69999999999999</v>
      </c>
      <c r="Z32" s="139">
        <v>146.69999999999999</v>
      </c>
      <c r="AA32" s="139">
        <v>162.6</v>
      </c>
      <c r="AB32" s="139">
        <v>165</v>
      </c>
      <c r="AC32" s="139">
        <v>180.8</v>
      </c>
      <c r="AD32" s="139">
        <v>205.9</v>
      </c>
      <c r="AE32" s="139">
        <v>209.3</v>
      </c>
      <c r="AF32" s="139">
        <v>179.2585</v>
      </c>
      <c r="AG32" s="453">
        <v>166.7</v>
      </c>
      <c r="AH32" s="139">
        <v>159.4</v>
      </c>
      <c r="AI32" s="139">
        <v>172</v>
      </c>
      <c r="AJ32" s="357" t="s">
        <v>62</v>
      </c>
      <c r="AK32" s="63" t="s">
        <v>1067</v>
      </c>
      <c r="AL32" s="1412">
        <f>SUM(AE31:AE36,AF25:AF30)</f>
        <v>1489.78</v>
      </c>
    </row>
    <row r="33" spans="1:38" ht="18" customHeight="1" x14ac:dyDescent="0.25">
      <c r="A33" s="363" t="s">
        <v>66</v>
      </c>
      <c r="B33" s="60">
        <v>404</v>
      </c>
      <c r="C33" s="60">
        <v>404</v>
      </c>
      <c r="D33" s="797">
        <f t="shared" si="5"/>
        <v>0</v>
      </c>
      <c r="E33" s="60"/>
      <c r="F33" s="363" t="s">
        <v>66</v>
      </c>
      <c r="G33" s="60">
        <v>367</v>
      </c>
      <c r="H33" s="60">
        <v>345</v>
      </c>
      <c r="I33" s="797">
        <f t="shared" si="6"/>
        <v>22</v>
      </c>
      <c r="J33" s="360" t="s">
        <v>79</v>
      </c>
      <c r="K33" s="139">
        <v>165.38800000000001</v>
      </c>
      <c r="L33" s="139">
        <v>163.19999999999999</v>
      </c>
      <c r="M33" s="164">
        <v>130.19999999999999</v>
      </c>
      <c r="N33" s="139">
        <v>176.476</v>
      </c>
      <c r="O33" s="139">
        <v>167.6</v>
      </c>
      <c r="P33" s="139">
        <v>156</v>
      </c>
      <c r="Q33" s="139">
        <v>149.9</v>
      </c>
      <c r="R33" s="139">
        <v>132.69999999999999</v>
      </c>
      <c r="S33" s="139">
        <v>133.30000000000001</v>
      </c>
      <c r="T33" s="139">
        <v>143.1</v>
      </c>
      <c r="U33" s="357" t="s">
        <v>79</v>
      </c>
      <c r="V33" s="22" t="s">
        <v>1069</v>
      </c>
      <c r="W33" s="1412">
        <f>SUM(R31:R36,S25:S30)</f>
        <v>1075.3</v>
      </c>
      <c r="X33" s="360" t="s">
        <v>79</v>
      </c>
      <c r="Y33" s="139">
        <v>130.69999999999999</v>
      </c>
      <c r="Z33" s="139">
        <v>135.80000000000001</v>
      </c>
      <c r="AA33" s="139">
        <v>142.19999999999999</v>
      </c>
      <c r="AB33" s="139">
        <v>139.6</v>
      </c>
      <c r="AC33" s="139">
        <v>154.19999999999999</v>
      </c>
      <c r="AD33" s="139">
        <v>175.4</v>
      </c>
      <c r="AE33" s="139">
        <v>189.9</v>
      </c>
      <c r="AF33" s="139">
        <v>164.14599999999999</v>
      </c>
      <c r="AG33" s="453">
        <v>149.19999999999999</v>
      </c>
      <c r="AH33" s="139">
        <v>141.80000000000001</v>
      </c>
      <c r="AI33" s="139">
        <v>153.6</v>
      </c>
      <c r="AJ33" s="357" t="s">
        <v>79</v>
      </c>
      <c r="AK33" s="63" t="s">
        <v>1068</v>
      </c>
      <c r="AL33" s="1412">
        <f>SUM(AF31:AF36,AG25:AG30)</f>
        <v>1260.3109999999997</v>
      </c>
    </row>
    <row r="34" spans="1:38" ht="18" customHeight="1" x14ac:dyDescent="0.25">
      <c r="A34" s="363" t="s">
        <v>56</v>
      </c>
      <c r="B34" s="60">
        <v>294</v>
      </c>
      <c r="C34" s="60">
        <v>294</v>
      </c>
      <c r="D34" s="797">
        <f t="shared" si="5"/>
        <v>0</v>
      </c>
      <c r="E34" s="60"/>
      <c r="F34" s="363" t="s">
        <v>56</v>
      </c>
      <c r="G34" s="60">
        <v>257</v>
      </c>
      <c r="H34" s="60">
        <v>280</v>
      </c>
      <c r="I34" s="797">
        <f t="shared" si="6"/>
        <v>-23</v>
      </c>
      <c r="J34" s="360" t="s">
        <v>66</v>
      </c>
      <c r="K34" s="139">
        <v>154.1</v>
      </c>
      <c r="L34" s="139">
        <v>118.1</v>
      </c>
      <c r="M34" s="164">
        <v>146.5</v>
      </c>
      <c r="N34" s="139">
        <v>127.7</v>
      </c>
      <c r="O34" s="139">
        <v>138.80000000000001</v>
      </c>
      <c r="P34" s="139">
        <v>149.6</v>
      </c>
      <c r="Q34" s="139">
        <v>102.1</v>
      </c>
      <c r="R34" s="139">
        <v>80.7</v>
      </c>
      <c r="S34" s="139">
        <v>109.2</v>
      </c>
      <c r="T34" s="139">
        <v>118</v>
      </c>
      <c r="U34" s="357" t="s">
        <v>66</v>
      </c>
      <c r="V34" s="63" t="s">
        <v>1070</v>
      </c>
      <c r="W34" s="1411">
        <f>SUM(S31:S36,T25:T30)</f>
        <v>1163.8</v>
      </c>
      <c r="X34" s="360" t="s">
        <v>66</v>
      </c>
      <c r="Y34" s="139">
        <v>89</v>
      </c>
      <c r="Z34" s="139">
        <v>105.5</v>
      </c>
      <c r="AA34" s="139">
        <v>85.4</v>
      </c>
      <c r="AB34" s="139">
        <v>108.3</v>
      </c>
      <c r="AC34" s="139">
        <v>132.6</v>
      </c>
      <c r="AD34" s="139">
        <v>124.7</v>
      </c>
      <c r="AE34" s="139">
        <v>156</v>
      </c>
      <c r="AF34" s="139">
        <v>104.5</v>
      </c>
      <c r="AG34" s="453">
        <v>82.7</v>
      </c>
      <c r="AH34" s="139">
        <v>103</v>
      </c>
      <c r="AI34" s="139">
        <v>118.4</v>
      </c>
      <c r="AJ34" s="357" t="s">
        <v>66</v>
      </c>
      <c r="AK34" s="63" t="s">
        <v>1069</v>
      </c>
      <c r="AL34" s="1412">
        <f>SUM(AG31:AG36,AH25:AH30)</f>
        <v>1140.7</v>
      </c>
    </row>
    <row r="35" spans="1:38" ht="18" customHeight="1" x14ac:dyDescent="0.25">
      <c r="A35" s="364" t="s">
        <v>59</v>
      </c>
      <c r="B35" s="69">
        <v>210</v>
      </c>
      <c r="C35" s="69">
        <v>210</v>
      </c>
      <c r="D35" s="798">
        <f t="shared" si="5"/>
        <v>0</v>
      </c>
      <c r="E35" s="60"/>
      <c r="F35" s="364" t="s">
        <v>59</v>
      </c>
      <c r="G35" s="69">
        <v>357</v>
      </c>
      <c r="H35" s="69">
        <v>279</v>
      </c>
      <c r="I35" s="798">
        <f t="shared" si="6"/>
        <v>78</v>
      </c>
      <c r="J35" s="360" t="s">
        <v>56</v>
      </c>
      <c r="K35" s="139">
        <v>107.7</v>
      </c>
      <c r="L35" s="139">
        <v>98.9</v>
      </c>
      <c r="M35" s="164">
        <v>103.8</v>
      </c>
      <c r="N35" s="139">
        <v>129.69999999999999</v>
      </c>
      <c r="O35" s="139">
        <v>123.6</v>
      </c>
      <c r="P35" s="139">
        <v>125</v>
      </c>
      <c r="Q35" s="139">
        <v>122.1</v>
      </c>
      <c r="R35" s="139">
        <v>76</v>
      </c>
      <c r="S35" s="139">
        <v>62.7</v>
      </c>
      <c r="T35" s="139">
        <v>89.4</v>
      </c>
      <c r="U35" s="357" t="s">
        <v>56</v>
      </c>
      <c r="W35" s="744"/>
      <c r="X35" s="360" t="s">
        <v>56</v>
      </c>
      <c r="Y35" s="139">
        <v>64</v>
      </c>
      <c r="Z35" s="139">
        <v>56.8</v>
      </c>
      <c r="AA35" s="139">
        <v>72.5</v>
      </c>
      <c r="AB35" s="139">
        <v>94.3</v>
      </c>
      <c r="AC35" s="139">
        <v>103.2</v>
      </c>
      <c r="AD35" s="139">
        <v>113.3</v>
      </c>
      <c r="AE35" s="139">
        <v>104.3</v>
      </c>
      <c r="AF35" s="139">
        <v>99.8</v>
      </c>
      <c r="AG35" s="453">
        <v>75.2</v>
      </c>
      <c r="AH35" s="139">
        <v>53.6</v>
      </c>
      <c r="AI35" s="139">
        <v>80.8</v>
      </c>
      <c r="AJ35" s="357" t="s">
        <v>56</v>
      </c>
      <c r="AK35" s="63" t="s">
        <v>1070</v>
      </c>
      <c r="AL35" s="1412">
        <f>SUM(AH31:AH36,AI25:AI30)</f>
        <v>1249.8000000000002</v>
      </c>
    </row>
    <row r="36" spans="1:38" ht="18" customHeight="1" x14ac:dyDescent="0.25">
      <c r="B36" s="573">
        <f>SUM(B24:B35)</f>
        <v>6252</v>
      </c>
      <c r="C36" s="573">
        <f>SUM(C24:C35)</f>
        <v>4543</v>
      </c>
      <c r="D36" s="36">
        <f t="shared" si="5"/>
        <v>1709</v>
      </c>
      <c r="E36" s="75"/>
      <c r="F36" s="2"/>
      <c r="G36" s="573">
        <f>SUM(G24:G35)</f>
        <v>4477</v>
      </c>
      <c r="H36" s="573">
        <f>SUM(H24:H35)</f>
        <v>4216</v>
      </c>
      <c r="I36" s="36">
        <f t="shared" si="6"/>
        <v>261</v>
      </c>
      <c r="J36" s="361" t="s">
        <v>59</v>
      </c>
      <c r="K36" s="219">
        <v>85.6</v>
      </c>
      <c r="L36" s="219">
        <v>86.7</v>
      </c>
      <c r="M36" s="220">
        <v>113.7</v>
      </c>
      <c r="N36" s="219">
        <v>107.3</v>
      </c>
      <c r="O36" s="219">
        <v>85.388000000000005</v>
      </c>
      <c r="P36" s="219">
        <v>72</v>
      </c>
      <c r="Q36" s="219">
        <v>63</v>
      </c>
      <c r="R36" s="219">
        <v>50.4</v>
      </c>
      <c r="S36" s="219">
        <v>74.099999999999994</v>
      </c>
      <c r="T36" s="219">
        <v>43.1</v>
      </c>
      <c r="U36" s="358" t="s">
        <v>59</v>
      </c>
      <c r="V36" s="1408"/>
      <c r="W36" s="1409"/>
      <c r="X36" s="361" t="s">
        <v>59</v>
      </c>
      <c r="Y36" s="219">
        <v>39.700000000000003</v>
      </c>
      <c r="Z36" s="219">
        <v>49.5</v>
      </c>
      <c r="AA36" s="219">
        <v>60.6</v>
      </c>
      <c r="AB36" s="219">
        <v>74.8</v>
      </c>
      <c r="AC36" s="219">
        <v>77.2</v>
      </c>
      <c r="AD36" s="219">
        <v>75.11</v>
      </c>
      <c r="AE36" s="219">
        <v>47.3</v>
      </c>
      <c r="AF36" s="219">
        <v>51.4</v>
      </c>
      <c r="AG36" s="220">
        <v>40.700000000000003</v>
      </c>
      <c r="AH36" s="219">
        <v>65.8</v>
      </c>
      <c r="AI36" s="219">
        <v>30.1</v>
      </c>
      <c r="AJ36" s="358" t="s">
        <v>59</v>
      </c>
      <c r="AK36" s="419"/>
      <c r="AL36" s="1409"/>
    </row>
    <row r="37" spans="1:38" ht="18" customHeight="1" x14ac:dyDescent="0.25">
      <c r="J37" s="138"/>
      <c r="K37" s="137">
        <f t="shared" ref="K37:S37" si="7">SUM(K25:K36)</f>
        <v>1451.4379999999996</v>
      </c>
      <c r="L37" s="137">
        <f t="shared" si="7"/>
        <v>1519.2</v>
      </c>
      <c r="M37" s="137">
        <f t="shared" si="7"/>
        <v>1417</v>
      </c>
      <c r="N37" s="137">
        <f t="shared" si="7"/>
        <v>1471.076</v>
      </c>
      <c r="O37" s="137">
        <f t="shared" si="7"/>
        <v>1607.4629999999997</v>
      </c>
      <c r="P37" s="137">
        <f t="shared" si="7"/>
        <v>1538.838</v>
      </c>
      <c r="Q37" s="137">
        <f t="shared" si="7"/>
        <v>1331.354</v>
      </c>
      <c r="R37" s="137">
        <f t="shared" si="7"/>
        <v>1079.3000000000002</v>
      </c>
      <c r="S37" s="137">
        <f t="shared" si="7"/>
        <v>1113.5999999999999</v>
      </c>
      <c r="T37" s="137">
        <f>SUM(T25:T36)</f>
        <v>1200.0999999999999</v>
      </c>
      <c r="V37" s="15"/>
      <c r="W37" s="2" t="s">
        <v>4</v>
      </c>
      <c r="X37" s="10"/>
      <c r="Y37" s="847">
        <f>SUM(Y25:Y36)</f>
        <v>1094.7</v>
      </c>
      <c r="Z37" s="847">
        <f>SUM(Z25:Z36)</f>
        <v>1065</v>
      </c>
      <c r="AA37" s="847">
        <f>SUM(AA25:AA36)</f>
        <v>1227.4000000000001</v>
      </c>
      <c r="AB37" s="847">
        <f t="shared" ref="AB37:AI37" si="8">SUM(AB25:AB36)</f>
        <v>1224.6999999999998</v>
      </c>
      <c r="AC37" s="847">
        <f t="shared" si="8"/>
        <v>1332.2</v>
      </c>
      <c r="AD37" s="847">
        <f t="shared" si="8"/>
        <v>1534.31</v>
      </c>
      <c r="AE37" s="847">
        <f t="shared" si="8"/>
        <v>1604</v>
      </c>
      <c r="AF37" s="847">
        <f>SUM(AF25:AF36)</f>
        <v>1350.491</v>
      </c>
      <c r="AG37" s="847">
        <f t="shared" si="8"/>
        <v>1148.3000000000002</v>
      </c>
      <c r="AH37" s="847">
        <f t="shared" si="8"/>
        <v>1156.3</v>
      </c>
      <c r="AI37" s="847">
        <f t="shared" si="8"/>
        <v>1287.3999999999999</v>
      </c>
      <c r="AK37" s="15"/>
    </row>
    <row r="38" spans="1:38" ht="18" customHeight="1" x14ac:dyDescent="0.25">
      <c r="J38" s="138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V38" s="15"/>
      <c r="X38" s="10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K38" s="15"/>
    </row>
    <row r="39" spans="1:38" ht="17.25" customHeight="1" x14ac:dyDescent="0.3">
      <c r="A39" s="224">
        <v>2010</v>
      </c>
      <c r="F39" s="224">
        <v>2009</v>
      </c>
      <c r="G39" s="2"/>
      <c r="H39" s="2"/>
      <c r="I39" s="2"/>
      <c r="AE39" s="2" t="s">
        <v>4</v>
      </c>
      <c r="AG39" s="11"/>
      <c r="AH39" s="11"/>
      <c r="AI39" s="11"/>
    </row>
    <row r="40" spans="1:38" ht="18" customHeight="1" x14ac:dyDescent="0.25">
      <c r="A40" s="106"/>
      <c r="B40" s="5" t="s">
        <v>568</v>
      </c>
      <c r="C40" s="5" t="s">
        <v>908</v>
      </c>
      <c r="D40" s="5" t="s">
        <v>596</v>
      </c>
      <c r="E40" s="31"/>
      <c r="F40" s="106"/>
      <c r="G40" s="5" t="s">
        <v>568</v>
      </c>
      <c r="H40" s="5" t="s">
        <v>908</v>
      </c>
      <c r="I40" s="5" t="s">
        <v>596</v>
      </c>
      <c r="AA40" s="8" t="s">
        <v>4</v>
      </c>
      <c r="AE40" s="6"/>
    </row>
    <row r="41" spans="1:38" ht="18" customHeight="1" x14ac:dyDescent="0.25">
      <c r="A41" s="362" t="s">
        <v>54</v>
      </c>
      <c r="B41" s="387">
        <v>185</v>
      </c>
      <c r="C41" s="365">
        <v>185</v>
      </c>
      <c r="D41" s="796">
        <f>B41-C41</f>
        <v>0</v>
      </c>
      <c r="E41" s="60"/>
      <c r="F41" s="362" t="s">
        <v>54</v>
      </c>
      <c r="G41" s="387">
        <v>282</v>
      </c>
      <c r="H41" s="365">
        <v>260</v>
      </c>
      <c r="I41" s="796">
        <f>G41-H41</f>
        <v>22</v>
      </c>
      <c r="J41" s="199"/>
      <c r="K41" s="1252">
        <v>1993</v>
      </c>
      <c r="L41" s="1252">
        <v>1994</v>
      </c>
      <c r="M41" s="1252">
        <v>1995</v>
      </c>
      <c r="N41" s="1252">
        <v>1996</v>
      </c>
      <c r="O41" s="1252">
        <v>1997</v>
      </c>
      <c r="P41" s="1252">
        <v>1998</v>
      </c>
      <c r="Q41" s="1252">
        <v>1999</v>
      </c>
      <c r="R41" s="1252">
        <v>2000</v>
      </c>
      <c r="S41" s="1252">
        <v>2001</v>
      </c>
      <c r="T41" s="1252">
        <v>2002</v>
      </c>
      <c r="U41" s="78"/>
      <c r="V41" s="1696" t="s">
        <v>541</v>
      </c>
      <c r="W41" s="1696"/>
      <c r="X41" s="78"/>
      <c r="Y41" s="1252">
        <v>1991</v>
      </c>
      <c r="Z41" s="1252">
        <v>1992</v>
      </c>
      <c r="AA41" s="1252">
        <v>1993</v>
      </c>
      <c r="AB41" s="1252">
        <v>1994</v>
      </c>
      <c r="AC41" s="1252">
        <v>1995</v>
      </c>
      <c r="AD41" s="1252">
        <v>1996</v>
      </c>
      <c r="AE41" s="1252">
        <v>1997</v>
      </c>
      <c r="AF41" s="1252">
        <v>1998</v>
      </c>
      <c r="AG41" s="1252">
        <v>1999</v>
      </c>
      <c r="AH41" s="1252">
        <v>2000</v>
      </c>
      <c r="AI41" s="1252">
        <v>2001</v>
      </c>
      <c r="AJ41" s="16"/>
      <c r="AK41" s="1696" t="s">
        <v>541</v>
      </c>
      <c r="AL41" s="1696"/>
    </row>
    <row r="42" spans="1:38" ht="18" customHeight="1" x14ac:dyDescent="0.25">
      <c r="A42" s="363" t="s">
        <v>55</v>
      </c>
      <c r="B42" s="388">
        <v>177</v>
      </c>
      <c r="C42" s="60">
        <v>177</v>
      </c>
      <c r="D42" s="797">
        <f t="shared" ref="D42:D53" si="9">B42-C42</f>
        <v>0</v>
      </c>
      <c r="E42" s="60"/>
      <c r="F42" s="363" t="s">
        <v>55</v>
      </c>
      <c r="G42" s="388">
        <v>170</v>
      </c>
      <c r="H42" s="60">
        <v>170</v>
      </c>
      <c r="I42" s="797">
        <f t="shared" ref="I42:I53" si="10">G42-H42</f>
        <v>0</v>
      </c>
      <c r="J42" s="359" t="s">
        <v>54</v>
      </c>
      <c r="K42" s="354">
        <v>35.4</v>
      </c>
      <c r="L42" s="354">
        <v>69.900000000000006</v>
      </c>
      <c r="M42" s="354">
        <v>34.1</v>
      </c>
      <c r="N42" s="354">
        <v>70.3</v>
      </c>
      <c r="O42" s="354">
        <v>66.900000000000006</v>
      </c>
      <c r="P42" s="354">
        <v>52.1</v>
      </c>
      <c r="Q42" s="354">
        <v>86.1</v>
      </c>
      <c r="R42" s="354">
        <v>90.82</v>
      </c>
      <c r="S42" s="354">
        <v>84.59</v>
      </c>
      <c r="T42" s="354">
        <v>79.8</v>
      </c>
      <c r="U42" s="356" t="s">
        <v>54</v>
      </c>
      <c r="V42" s="63" t="s">
        <v>1086</v>
      </c>
      <c r="W42" s="1410">
        <f>SUM(L48:L53,M42:M47)</f>
        <v>1140.9000000000001</v>
      </c>
      <c r="X42" s="359" t="s">
        <v>54</v>
      </c>
      <c r="Y42" s="354">
        <v>8</v>
      </c>
      <c r="Z42" s="354">
        <v>9.1</v>
      </c>
      <c r="AA42" s="680">
        <v>8.1</v>
      </c>
      <c r="AB42" s="680">
        <v>14.6</v>
      </c>
      <c r="AC42" s="354">
        <v>7.8</v>
      </c>
      <c r="AD42" s="354">
        <v>14.9</v>
      </c>
      <c r="AE42" s="354">
        <v>9.9</v>
      </c>
      <c r="AF42" s="354">
        <v>13.2</v>
      </c>
      <c r="AG42" s="354">
        <v>34.1</v>
      </c>
      <c r="AH42" s="354">
        <v>40.299999999999997</v>
      </c>
      <c r="AI42" s="354">
        <v>42.8</v>
      </c>
      <c r="AJ42" s="356" t="s">
        <v>54</v>
      </c>
      <c r="AK42" s="63" t="s">
        <v>1093</v>
      </c>
      <c r="AL42" s="1416">
        <f>SUM(Y48:Y53)+SUM(Z42:Z47)</f>
        <v>242.5</v>
      </c>
    </row>
    <row r="43" spans="1:38" ht="18" customHeight="1" x14ac:dyDescent="0.25">
      <c r="A43" s="363" t="s">
        <v>58</v>
      </c>
      <c r="B43" s="388">
        <v>285</v>
      </c>
      <c r="C43" s="60">
        <v>285</v>
      </c>
      <c r="D43" s="797">
        <f t="shared" si="9"/>
        <v>0</v>
      </c>
      <c r="E43" s="60"/>
      <c r="F43" s="363" t="s">
        <v>58</v>
      </c>
      <c r="G43" s="388">
        <v>286</v>
      </c>
      <c r="H43" s="60">
        <v>286</v>
      </c>
      <c r="I43" s="797">
        <f t="shared" si="10"/>
        <v>0</v>
      </c>
      <c r="J43" s="360" t="s">
        <v>55</v>
      </c>
      <c r="K43" s="139">
        <v>31.8</v>
      </c>
      <c r="L43" s="139">
        <v>43.5</v>
      </c>
      <c r="M43" s="139">
        <v>41.9</v>
      </c>
      <c r="N43" s="139">
        <v>44</v>
      </c>
      <c r="O43" s="139">
        <v>72</v>
      </c>
      <c r="P43" s="139">
        <v>51.3</v>
      </c>
      <c r="Q43" s="139">
        <v>58.5</v>
      </c>
      <c r="R43" s="139">
        <v>48.103000000000002</v>
      </c>
      <c r="S43" s="139">
        <v>56.515000000000001</v>
      </c>
      <c r="T43" s="139">
        <v>90.8</v>
      </c>
      <c r="U43" s="357" t="s">
        <v>55</v>
      </c>
      <c r="V43" s="63" t="s">
        <v>1087</v>
      </c>
      <c r="W43" s="1411">
        <f>SUM(M48:M53,N42:N47)</f>
        <v>1273.4000000000001</v>
      </c>
      <c r="X43" s="360" t="s">
        <v>55</v>
      </c>
      <c r="Y43" s="139">
        <v>9.3000000000000007</v>
      </c>
      <c r="Z43" s="139">
        <v>7.9</v>
      </c>
      <c r="AA43" s="680">
        <v>6.7</v>
      </c>
      <c r="AB43" s="680">
        <v>10.199999999999999</v>
      </c>
      <c r="AC43" s="139">
        <v>9</v>
      </c>
      <c r="AD43" s="139">
        <v>10.3</v>
      </c>
      <c r="AE43" s="139">
        <v>19.8</v>
      </c>
      <c r="AF43" s="139">
        <v>9.6</v>
      </c>
      <c r="AG43" s="139">
        <v>24.1</v>
      </c>
      <c r="AH43" s="139">
        <v>25.1</v>
      </c>
      <c r="AI43" s="139">
        <v>25</v>
      </c>
      <c r="AJ43" s="357" t="s">
        <v>55</v>
      </c>
      <c r="AK43" s="63" t="s">
        <v>1094</v>
      </c>
      <c r="AL43" s="1412">
        <f>SUM(Z48:Z53)+SUM(AA42:AA47)</f>
        <v>279.29999999999995</v>
      </c>
    </row>
    <row r="44" spans="1:38" ht="18" customHeight="1" x14ac:dyDescent="0.25">
      <c r="A44" s="363" t="s">
        <v>61</v>
      </c>
      <c r="B44" s="388">
        <v>309</v>
      </c>
      <c r="C44" s="60">
        <v>309</v>
      </c>
      <c r="D44" s="797">
        <f t="shared" si="9"/>
        <v>0</v>
      </c>
      <c r="E44" s="60"/>
      <c r="F44" s="363" t="s">
        <v>61</v>
      </c>
      <c r="G44" s="388">
        <v>802</v>
      </c>
      <c r="H44" s="60">
        <v>802</v>
      </c>
      <c r="I44" s="797">
        <f t="shared" si="10"/>
        <v>0</v>
      </c>
      <c r="J44" s="360" t="s">
        <v>58</v>
      </c>
      <c r="K44" s="139">
        <v>59.8</v>
      </c>
      <c r="L44" s="139">
        <v>53.6</v>
      </c>
      <c r="M44" s="139">
        <v>36.200000000000003</v>
      </c>
      <c r="N44" s="139">
        <v>51.3</v>
      </c>
      <c r="O44" s="139">
        <v>105.2</v>
      </c>
      <c r="P44" s="139">
        <v>58.5</v>
      </c>
      <c r="Q44" s="139">
        <v>72.599999999999994</v>
      </c>
      <c r="R44" s="139">
        <v>73.48</v>
      </c>
      <c r="S44" s="139">
        <v>70.048000000000002</v>
      </c>
      <c r="T44" s="139">
        <v>114.4</v>
      </c>
      <c r="U44" s="357" t="s">
        <v>58</v>
      </c>
      <c r="V44" s="63" t="s">
        <v>1088</v>
      </c>
      <c r="W44" s="1411">
        <f>SUM(N48:N53,O42:O47)</f>
        <v>1361.8000000000002</v>
      </c>
      <c r="X44" s="360" t="s">
        <v>58</v>
      </c>
      <c r="Y44" s="139">
        <v>3.2</v>
      </c>
      <c r="Z44" s="139">
        <v>5.6</v>
      </c>
      <c r="AA44" s="680">
        <v>11.8</v>
      </c>
      <c r="AB44" s="680">
        <v>22.5</v>
      </c>
      <c r="AC44" s="139">
        <v>9.9</v>
      </c>
      <c r="AD44" s="139">
        <v>16</v>
      </c>
      <c r="AE44" s="139">
        <v>37.1</v>
      </c>
      <c r="AF44" s="139">
        <v>20.3</v>
      </c>
      <c r="AG44" s="139">
        <v>30.5</v>
      </c>
      <c r="AH44" s="139">
        <v>38.9</v>
      </c>
      <c r="AI44" s="139">
        <v>35.299999999999997</v>
      </c>
      <c r="AJ44" s="357" t="s">
        <v>58</v>
      </c>
      <c r="AK44" s="63" t="s">
        <v>1095</v>
      </c>
      <c r="AL44" s="1412">
        <f>SUM(AA48:AA53)+SUM(AB42:AB47)</f>
        <v>392.1</v>
      </c>
    </row>
    <row r="45" spans="1:38" ht="18" customHeight="1" x14ac:dyDescent="0.25">
      <c r="A45" s="363" t="s">
        <v>63</v>
      </c>
      <c r="B45" s="388">
        <v>335</v>
      </c>
      <c r="C45" s="60">
        <v>346</v>
      </c>
      <c r="D45" s="797">
        <f t="shared" si="9"/>
        <v>-11</v>
      </c>
      <c r="E45" s="60"/>
      <c r="F45" s="363" t="s">
        <v>63</v>
      </c>
      <c r="G45" s="388">
        <v>534</v>
      </c>
      <c r="H45" s="60">
        <v>534</v>
      </c>
      <c r="I45" s="797">
        <f t="shared" si="10"/>
        <v>0</v>
      </c>
      <c r="J45" s="360" t="s">
        <v>61</v>
      </c>
      <c r="K45" s="139">
        <v>76.400000000000006</v>
      </c>
      <c r="L45" s="139">
        <v>76.3</v>
      </c>
      <c r="M45" s="139">
        <v>75.8</v>
      </c>
      <c r="N45" s="139">
        <v>91.5</v>
      </c>
      <c r="O45" s="139">
        <v>103.3</v>
      </c>
      <c r="P45" s="139">
        <v>75.5</v>
      </c>
      <c r="Q45" s="139">
        <v>73.8</v>
      </c>
      <c r="R45" s="139">
        <v>106.04</v>
      </c>
      <c r="S45" s="139">
        <v>99.084000000000003</v>
      </c>
      <c r="T45" s="139">
        <v>112.1</v>
      </c>
      <c r="U45" s="357" t="s">
        <v>61</v>
      </c>
      <c r="V45" s="63" t="s">
        <v>1089</v>
      </c>
      <c r="W45" s="1411">
        <f>SUM(O48:O53,P42:P47)</f>
        <v>1162.0000000000002</v>
      </c>
      <c r="X45" s="360" t="s">
        <v>61</v>
      </c>
      <c r="Y45" s="139">
        <v>6.1</v>
      </c>
      <c r="Z45" s="139">
        <v>15</v>
      </c>
      <c r="AA45" s="680">
        <v>19.5</v>
      </c>
      <c r="AB45" s="680">
        <v>32.4</v>
      </c>
      <c r="AC45" s="139">
        <v>25.4</v>
      </c>
      <c r="AD45" s="139">
        <v>28.1</v>
      </c>
      <c r="AE45" s="139">
        <v>42.6</v>
      </c>
      <c r="AF45" s="139">
        <v>30.7</v>
      </c>
      <c r="AG45" s="139">
        <v>41.2</v>
      </c>
      <c r="AH45" s="139">
        <v>62.5</v>
      </c>
      <c r="AI45" s="139">
        <v>66.400000000000006</v>
      </c>
      <c r="AJ45" s="357" t="s">
        <v>61</v>
      </c>
      <c r="AK45" s="63" t="s">
        <v>1086</v>
      </c>
      <c r="AL45" s="1412">
        <f>SUM(AB48:AB53)+SUM(AC42:AC47)</f>
        <v>307.10000000000002</v>
      </c>
    </row>
    <row r="46" spans="1:38" ht="18" customHeight="1" x14ac:dyDescent="0.25">
      <c r="A46" s="364" t="s">
        <v>65</v>
      </c>
      <c r="B46" s="389">
        <v>788</v>
      </c>
      <c r="C46" s="69">
        <v>705</v>
      </c>
      <c r="D46" s="798">
        <f t="shared" si="9"/>
        <v>83</v>
      </c>
      <c r="E46" s="60"/>
      <c r="F46" s="364" t="s">
        <v>65</v>
      </c>
      <c r="G46" s="389">
        <v>546</v>
      </c>
      <c r="H46" s="69">
        <v>546</v>
      </c>
      <c r="I46" s="798">
        <f t="shared" si="10"/>
        <v>0</v>
      </c>
      <c r="J46" s="360" t="s">
        <v>63</v>
      </c>
      <c r="K46" s="139">
        <v>126.3</v>
      </c>
      <c r="L46" s="139">
        <v>82.1</v>
      </c>
      <c r="M46" s="139">
        <v>82.7</v>
      </c>
      <c r="N46" s="139">
        <v>121.1</v>
      </c>
      <c r="O46" s="139">
        <v>131.4</v>
      </c>
      <c r="P46" s="139">
        <v>110.7</v>
      </c>
      <c r="Q46" s="139">
        <v>112.1</v>
      </c>
      <c r="R46" s="139">
        <v>131.58000000000001</v>
      </c>
      <c r="S46" s="139">
        <v>134.80000000000001</v>
      </c>
      <c r="T46" s="139">
        <v>138.9</v>
      </c>
      <c r="U46" s="357" t="s">
        <v>63</v>
      </c>
      <c r="V46" s="63" t="s">
        <v>1090</v>
      </c>
      <c r="W46" s="1411">
        <f>SUM(P48:P53,Q42:Q47)</f>
        <v>1319</v>
      </c>
      <c r="X46" s="360" t="s">
        <v>63</v>
      </c>
      <c r="Y46" s="139">
        <v>18.399999999999999</v>
      </c>
      <c r="Z46" s="139">
        <v>22.7</v>
      </c>
      <c r="AA46" s="680">
        <v>24.6</v>
      </c>
      <c r="AB46" s="680">
        <v>35.299999999999997</v>
      </c>
      <c r="AC46" s="139">
        <v>29</v>
      </c>
      <c r="AD46" s="139">
        <v>40.700000000000003</v>
      </c>
      <c r="AE46" s="139">
        <v>52.1</v>
      </c>
      <c r="AF46" s="139">
        <v>44.6</v>
      </c>
      <c r="AG46" s="139">
        <v>60.9</v>
      </c>
      <c r="AH46" s="139">
        <v>74.599999999999994</v>
      </c>
      <c r="AI46" s="139">
        <v>88.2</v>
      </c>
      <c r="AJ46" s="357" t="s">
        <v>63</v>
      </c>
      <c r="AK46" s="63" t="s">
        <v>1087</v>
      </c>
      <c r="AL46" s="1412">
        <f>SUM(AC48:AC53)+SUM(AD42:AD47)</f>
        <v>357.6</v>
      </c>
    </row>
    <row r="47" spans="1:38" ht="18" customHeight="1" x14ac:dyDescent="0.25">
      <c r="A47" s="363" t="s">
        <v>67</v>
      </c>
      <c r="B47" s="60">
        <v>570</v>
      </c>
      <c r="C47" s="60">
        <v>566</v>
      </c>
      <c r="D47" s="797">
        <f t="shared" si="9"/>
        <v>4</v>
      </c>
      <c r="E47" s="60"/>
      <c r="F47" s="363" t="s">
        <v>67</v>
      </c>
      <c r="G47" s="60">
        <v>725</v>
      </c>
      <c r="H47" s="60">
        <v>676</v>
      </c>
      <c r="I47" s="797">
        <f t="shared" si="10"/>
        <v>49</v>
      </c>
      <c r="J47" s="361" t="s">
        <v>65</v>
      </c>
      <c r="K47" s="219">
        <v>134.5</v>
      </c>
      <c r="L47" s="219">
        <v>138.19999999999999</v>
      </c>
      <c r="M47" s="219">
        <v>121.2</v>
      </c>
      <c r="N47" s="219">
        <v>133.4</v>
      </c>
      <c r="O47" s="219">
        <v>133.4</v>
      </c>
      <c r="P47" s="219">
        <v>142.30000000000001</v>
      </c>
      <c r="Q47" s="219">
        <v>118.8</v>
      </c>
      <c r="R47" s="219">
        <v>155.27000000000001</v>
      </c>
      <c r="S47" s="219">
        <v>152.5</v>
      </c>
      <c r="T47" s="219">
        <v>159.6</v>
      </c>
      <c r="U47" s="358" t="s">
        <v>65</v>
      </c>
      <c r="V47" s="63" t="s">
        <v>1091</v>
      </c>
      <c r="W47" s="1411">
        <f>SUM(Q48:Q53,R42:R47)</f>
        <v>1430.4569999999997</v>
      </c>
      <c r="X47" s="361" t="s">
        <v>65</v>
      </c>
      <c r="Y47" s="219">
        <v>20.9</v>
      </c>
      <c r="Z47" s="219">
        <v>23.3</v>
      </c>
      <c r="AA47" s="57">
        <v>34</v>
      </c>
      <c r="AB47" s="57">
        <v>47.7</v>
      </c>
      <c r="AC47" s="219">
        <v>33.4</v>
      </c>
      <c r="AD47" s="219">
        <v>41.9</v>
      </c>
      <c r="AE47" s="219">
        <v>58</v>
      </c>
      <c r="AF47" s="219">
        <v>59.4</v>
      </c>
      <c r="AG47" s="219">
        <v>67.900000000000006</v>
      </c>
      <c r="AH47" s="219">
        <v>99</v>
      </c>
      <c r="AI47" s="219">
        <v>136.6</v>
      </c>
      <c r="AJ47" s="358" t="s">
        <v>65</v>
      </c>
      <c r="AK47" s="63" t="s">
        <v>1088</v>
      </c>
      <c r="AL47" s="1412">
        <f>SUM(AD48:AD53)+SUM(AE42:AE47)</f>
        <v>437.4</v>
      </c>
    </row>
    <row r="48" spans="1:38" ht="18" customHeight="1" x14ac:dyDescent="0.25">
      <c r="A48" s="363" t="s">
        <v>62</v>
      </c>
      <c r="B48" s="60">
        <v>454</v>
      </c>
      <c r="C48" s="60">
        <v>454</v>
      </c>
      <c r="D48" s="797">
        <f t="shared" si="9"/>
        <v>0</v>
      </c>
      <c r="E48" s="60"/>
      <c r="F48" s="363" t="s">
        <v>62</v>
      </c>
      <c r="G48" s="60">
        <v>538</v>
      </c>
      <c r="H48" s="60">
        <v>547</v>
      </c>
      <c r="I48" s="797">
        <f t="shared" si="10"/>
        <v>-9</v>
      </c>
      <c r="J48" s="360" t="s">
        <v>67</v>
      </c>
      <c r="K48" s="139">
        <v>153.5</v>
      </c>
      <c r="L48" s="139">
        <v>168.5</v>
      </c>
      <c r="M48" s="139">
        <v>170.9</v>
      </c>
      <c r="N48" s="139">
        <v>153.30000000000001</v>
      </c>
      <c r="O48" s="139">
        <v>139.4</v>
      </c>
      <c r="P48" s="139">
        <v>184.5</v>
      </c>
      <c r="Q48" s="139">
        <v>164.6</v>
      </c>
      <c r="R48" s="139">
        <v>166.92099999999999</v>
      </c>
      <c r="S48" s="139">
        <v>164.3</v>
      </c>
      <c r="T48" s="139">
        <v>172.1</v>
      </c>
      <c r="U48" s="357" t="s">
        <v>67</v>
      </c>
      <c r="V48" s="63" t="s">
        <v>1092</v>
      </c>
      <c r="W48" s="1411">
        <f>SUM(R48:R53,S42:S47)</f>
        <v>1447.06</v>
      </c>
      <c r="X48" s="360" t="s">
        <v>67</v>
      </c>
      <c r="Y48" s="139">
        <v>29</v>
      </c>
      <c r="Z48" s="139">
        <v>25.3</v>
      </c>
      <c r="AA48" s="680">
        <v>33.700000000000003</v>
      </c>
      <c r="AB48" s="680">
        <v>43.9</v>
      </c>
      <c r="AC48" s="139">
        <v>43.2</v>
      </c>
      <c r="AD48" s="139">
        <v>51.8</v>
      </c>
      <c r="AE48" s="139">
        <v>72.400000000000006</v>
      </c>
      <c r="AF48" s="139">
        <v>78.400000000000006</v>
      </c>
      <c r="AG48" s="139">
        <v>134</v>
      </c>
      <c r="AH48" s="139">
        <v>125.5</v>
      </c>
      <c r="AI48" s="139">
        <v>157.69999999999999</v>
      </c>
      <c r="AJ48" s="357" t="s">
        <v>67</v>
      </c>
      <c r="AK48" s="63" t="s">
        <v>1089</v>
      </c>
      <c r="AL48" s="1412">
        <f>SUM(AE48:AE53,AF42:AF47)</f>
        <v>534.19000000000005</v>
      </c>
    </row>
    <row r="49" spans="1:38" ht="18" customHeight="1" x14ac:dyDescent="0.25">
      <c r="A49" s="363" t="s">
        <v>79</v>
      </c>
      <c r="B49" s="60">
        <v>462</v>
      </c>
      <c r="C49" s="60">
        <v>462</v>
      </c>
      <c r="D49" s="797">
        <f t="shared" si="9"/>
        <v>0</v>
      </c>
      <c r="E49" s="60"/>
      <c r="F49" s="363" t="s">
        <v>79</v>
      </c>
      <c r="G49" s="60">
        <v>670</v>
      </c>
      <c r="H49" s="60">
        <v>610</v>
      </c>
      <c r="I49" s="797">
        <f t="shared" si="10"/>
        <v>60</v>
      </c>
      <c r="J49" s="360" t="s">
        <v>62</v>
      </c>
      <c r="K49" s="139">
        <v>162.30000000000001</v>
      </c>
      <c r="L49" s="139">
        <v>185.1</v>
      </c>
      <c r="M49" s="139">
        <v>163.30000000000001</v>
      </c>
      <c r="N49" s="139">
        <v>157.1</v>
      </c>
      <c r="O49" s="139">
        <v>146.30000000000001</v>
      </c>
      <c r="P49" s="139">
        <v>169.1</v>
      </c>
      <c r="Q49" s="139">
        <v>131</v>
      </c>
      <c r="R49" s="139">
        <v>187.09</v>
      </c>
      <c r="S49" s="139">
        <v>172.95</v>
      </c>
      <c r="T49" s="139">
        <v>167.9</v>
      </c>
      <c r="U49" s="357" t="s">
        <v>62</v>
      </c>
      <c r="V49" s="63" t="s">
        <v>1085</v>
      </c>
      <c r="W49" s="1412">
        <f>SUM(S48:S53,T42:T47)</f>
        <v>1496.53</v>
      </c>
      <c r="X49" s="360" t="s">
        <v>62</v>
      </c>
      <c r="Y49" s="139">
        <v>28.5</v>
      </c>
      <c r="Z49" s="139">
        <v>48.5</v>
      </c>
      <c r="AA49" s="680">
        <v>43.2</v>
      </c>
      <c r="AB49" s="680">
        <v>47.6</v>
      </c>
      <c r="AC49" s="139">
        <v>49.1</v>
      </c>
      <c r="AD49" s="139">
        <v>50</v>
      </c>
      <c r="AE49" s="139">
        <v>66.489999999999995</v>
      </c>
      <c r="AF49" s="139">
        <v>94.9</v>
      </c>
      <c r="AG49" s="139">
        <v>119.8</v>
      </c>
      <c r="AH49" s="139">
        <v>129.9</v>
      </c>
      <c r="AI49" s="139">
        <v>139.80000000000001</v>
      </c>
      <c r="AJ49" s="357" t="s">
        <v>62</v>
      </c>
      <c r="AK49" s="63" t="s">
        <v>1090</v>
      </c>
      <c r="AL49" s="1412">
        <f>SUM(AF48:AF53)+SUM(AG42:AG47)</f>
        <v>650.40000000000009</v>
      </c>
    </row>
    <row r="50" spans="1:38" ht="18" customHeight="1" x14ac:dyDescent="0.25">
      <c r="A50" s="363" t="s">
        <v>66</v>
      </c>
      <c r="B50" s="60">
        <v>227</v>
      </c>
      <c r="C50" s="60">
        <v>227</v>
      </c>
      <c r="D50" s="797">
        <f t="shared" si="9"/>
        <v>0</v>
      </c>
      <c r="E50" s="60"/>
      <c r="F50" s="363" t="s">
        <v>66</v>
      </c>
      <c r="G50" s="60">
        <v>337</v>
      </c>
      <c r="H50" s="60">
        <v>337</v>
      </c>
      <c r="I50" s="797">
        <f t="shared" si="10"/>
        <v>0</v>
      </c>
      <c r="J50" s="360" t="s">
        <v>79</v>
      </c>
      <c r="K50" s="139">
        <v>165</v>
      </c>
      <c r="L50" s="139">
        <v>132.1</v>
      </c>
      <c r="M50" s="139">
        <v>154.69999999999999</v>
      </c>
      <c r="N50" s="139">
        <v>147.80000000000001</v>
      </c>
      <c r="O50" s="139">
        <v>135.69999999999999</v>
      </c>
      <c r="P50" s="139">
        <v>139</v>
      </c>
      <c r="Q50" s="139">
        <v>175.68</v>
      </c>
      <c r="R50" s="139">
        <v>154.63999999999999</v>
      </c>
      <c r="S50" s="139">
        <v>155.798</v>
      </c>
      <c r="T50" s="139">
        <v>183.8</v>
      </c>
      <c r="U50" s="357" t="s">
        <v>79</v>
      </c>
      <c r="W50" s="744"/>
      <c r="X50" s="360" t="s">
        <v>79</v>
      </c>
      <c r="Y50" s="139">
        <v>25.6</v>
      </c>
      <c r="Z50" s="139">
        <v>49.4</v>
      </c>
      <c r="AA50" s="680">
        <v>60.5</v>
      </c>
      <c r="AB50" s="680">
        <v>41.8</v>
      </c>
      <c r="AC50" s="139">
        <v>40.1</v>
      </c>
      <c r="AD50" s="139">
        <v>45.1</v>
      </c>
      <c r="AE50" s="139">
        <v>80.099999999999994</v>
      </c>
      <c r="AF50" s="139">
        <v>68.599999999999994</v>
      </c>
      <c r="AG50" s="139">
        <v>74.400000000000006</v>
      </c>
      <c r="AH50" s="139">
        <v>91.4</v>
      </c>
      <c r="AI50" s="139">
        <v>120.5</v>
      </c>
      <c r="AJ50" s="357" t="s">
        <v>79</v>
      </c>
      <c r="AK50" s="63" t="s">
        <v>1091</v>
      </c>
      <c r="AL50" s="1412">
        <f>SUM(AG48:AG53,AH42:AH47)</f>
        <v>865.4</v>
      </c>
    </row>
    <row r="51" spans="1:38" ht="18" customHeight="1" x14ac:dyDescent="0.25">
      <c r="A51" s="363" t="s">
        <v>56</v>
      </c>
      <c r="B51" s="60">
        <v>248</v>
      </c>
      <c r="C51" s="60">
        <v>248</v>
      </c>
      <c r="D51" s="797">
        <f t="shared" si="9"/>
        <v>0</v>
      </c>
      <c r="E51" s="60"/>
      <c r="F51" s="363" t="s">
        <v>56</v>
      </c>
      <c r="G51" s="60">
        <v>284</v>
      </c>
      <c r="H51" s="60">
        <v>284</v>
      </c>
      <c r="I51" s="797">
        <f t="shared" si="10"/>
        <v>0</v>
      </c>
      <c r="J51" s="360" t="s">
        <v>66</v>
      </c>
      <c r="K51" s="139">
        <v>103.6</v>
      </c>
      <c r="L51" s="139">
        <v>123.1</v>
      </c>
      <c r="M51" s="139">
        <v>122.1</v>
      </c>
      <c r="N51" s="139">
        <v>131.6</v>
      </c>
      <c r="O51" s="139">
        <v>122.4</v>
      </c>
      <c r="P51" s="139">
        <v>121.7</v>
      </c>
      <c r="Q51" s="139">
        <v>142.893</v>
      </c>
      <c r="R51" s="139">
        <v>119.306</v>
      </c>
      <c r="S51" s="139">
        <v>144.38200000000001</v>
      </c>
      <c r="T51" s="139">
        <v>141.96</v>
      </c>
      <c r="U51" s="357" t="s">
        <v>66</v>
      </c>
      <c r="V51" s="214"/>
      <c r="W51" s="1413"/>
      <c r="X51" s="360" t="s">
        <v>66</v>
      </c>
      <c r="Y51" s="139">
        <v>29.7</v>
      </c>
      <c r="Z51" s="139">
        <v>19</v>
      </c>
      <c r="AA51" s="680">
        <v>51</v>
      </c>
      <c r="AB51" s="680">
        <v>27.9</v>
      </c>
      <c r="AC51" s="139">
        <v>34.200000000000003</v>
      </c>
      <c r="AD51" s="139">
        <v>35</v>
      </c>
      <c r="AE51" s="139">
        <v>87.3</v>
      </c>
      <c r="AF51" s="139">
        <v>81.400000000000006</v>
      </c>
      <c r="AG51" s="139">
        <v>89.2</v>
      </c>
      <c r="AH51" s="139">
        <v>84</v>
      </c>
      <c r="AI51" s="139">
        <v>103.5</v>
      </c>
      <c r="AJ51" s="357" t="s">
        <v>66</v>
      </c>
      <c r="AK51" s="63" t="s">
        <v>1092</v>
      </c>
      <c r="AL51" s="1412">
        <f>SUM(AH48:AH53,AI42:AI47)</f>
        <v>947</v>
      </c>
    </row>
    <row r="52" spans="1:38" ht="18" customHeight="1" x14ac:dyDescent="0.25">
      <c r="A52" s="364" t="s">
        <v>59</v>
      </c>
      <c r="B52" s="69">
        <v>204</v>
      </c>
      <c r="C52" s="69">
        <v>204</v>
      </c>
      <c r="D52" s="798">
        <f t="shared" si="9"/>
        <v>0</v>
      </c>
      <c r="E52" s="60"/>
      <c r="F52" s="364" t="s">
        <v>59</v>
      </c>
      <c r="G52" s="69">
        <v>240</v>
      </c>
      <c r="H52" s="69">
        <v>240</v>
      </c>
      <c r="I52" s="798">
        <f t="shared" si="10"/>
        <v>0</v>
      </c>
      <c r="J52" s="360" t="s">
        <v>56</v>
      </c>
      <c r="K52" s="139">
        <v>94.9</v>
      </c>
      <c r="L52" s="139">
        <v>72.400000000000006</v>
      </c>
      <c r="M52" s="139">
        <v>83.1</v>
      </c>
      <c r="N52" s="139">
        <v>96.2</v>
      </c>
      <c r="O52" s="139">
        <v>76.7</v>
      </c>
      <c r="P52" s="139">
        <v>103.3</v>
      </c>
      <c r="Q52" s="139">
        <v>102.59099999999999</v>
      </c>
      <c r="R52" s="139">
        <v>106.5</v>
      </c>
      <c r="S52" s="139">
        <v>89.8</v>
      </c>
      <c r="T52" s="139">
        <v>87.174000000000007</v>
      </c>
      <c r="U52" s="357" t="s">
        <v>56</v>
      </c>
      <c r="V52" s="214"/>
      <c r="W52" s="1413"/>
      <c r="X52" s="360" t="s">
        <v>56</v>
      </c>
      <c r="Y52" s="139">
        <v>32.299999999999997</v>
      </c>
      <c r="Z52" s="139">
        <v>22.2</v>
      </c>
      <c r="AA52" s="680">
        <v>28.2</v>
      </c>
      <c r="AB52" s="680">
        <v>16.8</v>
      </c>
      <c r="AC52" s="139">
        <v>22.2</v>
      </c>
      <c r="AD52" s="139">
        <v>21.1</v>
      </c>
      <c r="AE52" s="139">
        <v>35.299999999999997</v>
      </c>
      <c r="AF52" s="139">
        <v>39</v>
      </c>
      <c r="AG52" s="139">
        <v>48.7</v>
      </c>
      <c r="AH52" s="139">
        <v>63</v>
      </c>
      <c r="AI52" s="139">
        <v>47.5</v>
      </c>
      <c r="AJ52" s="357" t="s">
        <v>56</v>
      </c>
      <c r="AK52" s="46"/>
      <c r="AL52" s="1417"/>
    </row>
    <row r="53" spans="1:38" ht="18" customHeight="1" x14ac:dyDescent="0.25">
      <c r="B53" s="573">
        <f>SUM(B41:B52)</f>
        <v>4244</v>
      </c>
      <c r="C53" s="573">
        <f>SUM(C41:C52)</f>
        <v>4168</v>
      </c>
      <c r="D53" s="36">
        <f t="shared" si="9"/>
        <v>76</v>
      </c>
      <c r="E53" s="75"/>
      <c r="F53" s="2"/>
      <c r="G53" s="573">
        <f>SUM(G41:G52)</f>
        <v>5414</v>
      </c>
      <c r="H53" s="573">
        <f>SUM(H41:H52)</f>
        <v>5292</v>
      </c>
      <c r="I53" s="36">
        <f t="shared" si="10"/>
        <v>122</v>
      </c>
      <c r="J53" s="361" t="s">
        <v>59</v>
      </c>
      <c r="K53" s="219">
        <v>64.2</v>
      </c>
      <c r="L53" s="219">
        <v>67.8</v>
      </c>
      <c r="M53" s="219">
        <v>67.7</v>
      </c>
      <c r="N53" s="219">
        <v>63.6</v>
      </c>
      <c r="O53" s="219">
        <v>51.1</v>
      </c>
      <c r="P53" s="219">
        <v>79.5</v>
      </c>
      <c r="Q53" s="219">
        <v>108.4</v>
      </c>
      <c r="R53" s="219">
        <v>115.066</v>
      </c>
      <c r="S53" s="219">
        <v>73.7</v>
      </c>
      <c r="T53" s="219">
        <v>78.900000000000006</v>
      </c>
      <c r="U53" s="358" t="s">
        <v>59</v>
      </c>
      <c r="V53" s="1414"/>
      <c r="W53" s="1415"/>
      <c r="X53" s="361" t="s">
        <v>59</v>
      </c>
      <c r="Y53" s="219">
        <v>13.8</v>
      </c>
      <c r="Z53" s="219">
        <v>10.199999999999999</v>
      </c>
      <c r="AA53" s="57">
        <v>12.8</v>
      </c>
      <c r="AB53" s="57">
        <v>14.6</v>
      </c>
      <c r="AC53" s="219">
        <v>16.899999999999999</v>
      </c>
      <c r="AD53" s="219">
        <v>14.9</v>
      </c>
      <c r="AE53" s="219">
        <v>14.8</v>
      </c>
      <c r="AF53" s="219">
        <v>29.4</v>
      </c>
      <c r="AG53" s="219">
        <v>58.9</v>
      </c>
      <c r="AH53" s="219">
        <v>58.9</v>
      </c>
      <c r="AI53" s="219">
        <v>35.5</v>
      </c>
      <c r="AJ53" s="358" t="s">
        <v>59</v>
      </c>
      <c r="AK53" s="811"/>
      <c r="AL53" s="1418"/>
    </row>
    <row r="54" spans="1:38" ht="18" customHeight="1" x14ac:dyDescent="0.25">
      <c r="J54" s="138"/>
      <c r="K54" s="137">
        <f t="shared" ref="K54:T54" si="11">SUM(K42:K53)</f>
        <v>1207.7</v>
      </c>
      <c r="L54" s="137">
        <f t="shared" si="11"/>
        <v>1212.5999999999999</v>
      </c>
      <c r="M54" s="137">
        <f t="shared" si="11"/>
        <v>1153.7</v>
      </c>
      <c r="N54" s="137">
        <f t="shared" si="11"/>
        <v>1261.2</v>
      </c>
      <c r="O54" s="137">
        <f t="shared" si="11"/>
        <v>1283.8000000000002</v>
      </c>
      <c r="P54" s="137">
        <f t="shared" si="11"/>
        <v>1287.5</v>
      </c>
      <c r="Q54" s="137">
        <f t="shared" si="11"/>
        <v>1347.0640000000001</v>
      </c>
      <c r="R54" s="137">
        <f t="shared" si="11"/>
        <v>1454.816</v>
      </c>
      <c r="S54" s="137">
        <f t="shared" si="11"/>
        <v>1398.4670000000001</v>
      </c>
      <c r="T54" s="137">
        <f t="shared" si="11"/>
        <v>1527.4340000000002</v>
      </c>
      <c r="U54" s="218"/>
      <c r="V54" s="186"/>
      <c r="W54" s="217"/>
      <c r="X54" s="10"/>
      <c r="Y54" s="137">
        <f t="shared" ref="Y54:AI54" si="12">SUM(Y42:Y53)</f>
        <v>224.8</v>
      </c>
      <c r="Z54" s="137">
        <f t="shared" si="12"/>
        <v>258.2</v>
      </c>
      <c r="AA54" s="137">
        <f t="shared" si="12"/>
        <v>334.1</v>
      </c>
      <c r="AB54" s="137">
        <f t="shared" si="12"/>
        <v>355.3</v>
      </c>
      <c r="AC54" s="137">
        <f t="shared" si="12"/>
        <v>320.19999999999993</v>
      </c>
      <c r="AD54" s="137">
        <f t="shared" si="12"/>
        <v>369.8</v>
      </c>
      <c r="AE54" s="137">
        <f t="shared" si="12"/>
        <v>575.88999999999987</v>
      </c>
      <c r="AF54" s="137">
        <f t="shared" si="12"/>
        <v>569.5</v>
      </c>
      <c r="AG54" s="137">
        <f t="shared" si="12"/>
        <v>783.7</v>
      </c>
      <c r="AH54" s="137">
        <f t="shared" si="12"/>
        <v>893.09999999999991</v>
      </c>
      <c r="AI54" s="137">
        <f t="shared" si="12"/>
        <v>998.8</v>
      </c>
      <c r="AK54" s="15"/>
    </row>
    <row r="55" spans="1:38" ht="18" customHeight="1" x14ac:dyDescent="0.3">
      <c r="A55" s="224">
        <v>2008</v>
      </c>
      <c r="E55" s="60"/>
      <c r="F55" s="224">
        <v>2007</v>
      </c>
      <c r="G55" s="2"/>
      <c r="H55" s="2"/>
      <c r="I55" s="2"/>
    </row>
    <row r="56" spans="1:38" ht="18" customHeight="1" x14ac:dyDescent="0.25">
      <c r="A56" s="106"/>
      <c r="B56" s="5" t="s">
        <v>568</v>
      </c>
      <c r="C56" s="5" t="s">
        <v>908</v>
      </c>
      <c r="D56" s="5" t="s">
        <v>596</v>
      </c>
      <c r="E56" s="60"/>
      <c r="F56" s="106"/>
      <c r="G56" s="5" t="s">
        <v>568</v>
      </c>
      <c r="H56" s="5" t="s">
        <v>908</v>
      </c>
      <c r="I56" s="5" t="s">
        <v>596</v>
      </c>
    </row>
    <row r="57" spans="1:38" ht="18" customHeight="1" x14ac:dyDescent="0.25">
      <c r="A57" s="362" t="s">
        <v>54</v>
      </c>
      <c r="B57" s="387">
        <v>151</v>
      </c>
      <c r="C57" s="365">
        <v>151</v>
      </c>
      <c r="D57" s="796">
        <f>B57-C57</f>
        <v>0</v>
      </c>
      <c r="E57" s="60"/>
      <c r="F57" s="362" t="s">
        <v>54</v>
      </c>
      <c r="G57" s="387">
        <v>297</v>
      </c>
      <c r="H57" s="365">
        <v>297</v>
      </c>
      <c r="I57" s="796">
        <f>G57-H57</f>
        <v>0</v>
      </c>
    </row>
    <row r="58" spans="1:38" ht="18" customHeight="1" x14ac:dyDescent="0.25">
      <c r="A58" s="363" t="s">
        <v>55</v>
      </c>
      <c r="B58" s="388">
        <v>155</v>
      </c>
      <c r="C58" s="60">
        <v>155</v>
      </c>
      <c r="D58" s="797">
        <f t="shared" ref="D58:D68" si="13">B58-C58</f>
        <v>0</v>
      </c>
      <c r="E58" s="60"/>
      <c r="F58" s="363" t="s">
        <v>55</v>
      </c>
      <c r="G58" s="388">
        <v>207</v>
      </c>
      <c r="H58" s="60">
        <v>179</v>
      </c>
      <c r="I58" s="797">
        <f t="shared" ref="I58:I69" si="14">G58-H58</f>
        <v>28</v>
      </c>
    </row>
    <row r="59" spans="1:38" ht="18" customHeight="1" x14ac:dyDescent="0.25">
      <c r="A59" s="363" t="s">
        <v>58</v>
      </c>
      <c r="B59" s="388">
        <v>324</v>
      </c>
      <c r="C59" s="60">
        <v>319</v>
      </c>
      <c r="D59" s="797">
        <f t="shared" si="13"/>
        <v>5</v>
      </c>
      <c r="E59" s="60"/>
      <c r="F59" s="363" t="s">
        <v>58</v>
      </c>
      <c r="G59" s="388">
        <v>282</v>
      </c>
      <c r="H59" s="60">
        <v>282</v>
      </c>
      <c r="I59" s="797">
        <f t="shared" si="14"/>
        <v>0</v>
      </c>
    </row>
    <row r="60" spans="1:38" ht="18" customHeight="1" x14ac:dyDescent="0.25">
      <c r="A60" s="363" t="s">
        <v>61</v>
      </c>
      <c r="B60" s="388">
        <v>410</v>
      </c>
      <c r="C60" s="60">
        <v>416</v>
      </c>
      <c r="D60" s="797">
        <f t="shared" si="13"/>
        <v>-6</v>
      </c>
      <c r="E60" s="60"/>
      <c r="F60" s="363" t="s">
        <v>61</v>
      </c>
      <c r="G60" s="388">
        <v>341</v>
      </c>
      <c r="H60" s="60">
        <v>341</v>
      </c>
      <c r="I60" s="797">
        <f t="shared" si="14"/>
        <v>0</v>
      </c>
    </row>
    <row r="61" spans="1:38" ht="18" customHeight="1" x14ac:dyDescent="0.25">
      <c r="A61" s="363" t="s">
        <v>63</v>
      </c>
      <c r="B61" s="388">
        <v>406</v>
      </c>
      <c r="C61" s="60">
        <v>385</v>
      </c>
      <c r="D61" s="797">
        <f t="shared" si="13"/>
        <v>21</v>
      </c>
      <c r="E61" s="60"/>
      <c r="F61" s="363" t="s">
        <v>63</v>
      </c>
      <c r="G61" s="388">
        <v>468</v>
      </c>
      <c r="H61" s="60">
        <v>468</v>
      </c>
      <c r="I61" s="797">
        <f t="shared" si="14"/>
        <v>0</v>
      </c>
    </row>
    <row r="62" spans="1:38" ht="18" customHeight="1" x14ac:dyDescent="0.25">
      <c r="A62" s="364" t="s">
        <v>65</v>
      </c>
      <c r="B62" s="389">
        <v>590</v>
      </c>
      <c r="C62" s="69">
        <v>584</v>
      </c>
      <c r="D62" s="798">
        <f t="shared" si="13"/>
        <v>6</v>
      </c>
      <c r="E62" s="60"/>
      <c r="F62" s="364" t="s">
        <v>65</v>
      </c>
      <c r="G62" s="389">
        <v>566</v>
      </c>
      <c r="H62" s="69">
        <v>566</v>
      </c>
      <c r="I62" s="798">
        <f t="shared" si="14"/>
        <v>0</v>
      </c>
    </row>
    <row r="63" spans="1:38" ht="18" customHeight="1" x14ac:dyDescent="0.25">
      <c r="A63" s="363" t="s">
        <v>67</v>
      </c>
      <c r="B63" s="60">
        <v>623</v>
      </c>
      <c r="C63" s="60">
        <v>623</v>
      </c>
      <c r="D63" s="797">
        <f t="shared" si="13"/>
        <v>0</v>
      </c>
      <c r="E63" s="60"/>
      <c r="F63" s="363" t="s">
        <v>67</v>
      </c>
      <c r="G63" s="60">
        <v>550</v>
      </c>
      <c r="H63" s="60">
        <v>531</v>
      </c>
      <c r="I63" s="797">
        <f t="shared" si="14"/>
        <v>19</v>
      </c>
    </row>
    <row r="64" spans="1:38" ht="18" customHeight="1" x14ac:dyDescent="0.25">
      <c r="A64" s="363" t="s">
        <v>62</v>
      </c>
      <c r="B64" s="60">
        <v>1249</v>
      </c>
      <c r="C64" s="60">
        <v>438</v>
      </c>
      <c r="D64" s="797">
        <f t="shared" si="13"/>
        <v>811</v>
      </c>
      <c r="E64" s="60"/>
      <c r="F64" s="363" t="s">
        <v>62</v>
      </c>
      <c r="G64" s="60">
        <v>483</v>
      </c>
      <c r="H64" s="60">
        <v>483</v>
      </c>
      <c r="I64" s="797">
        <f t="shared" si="14"/>
        <v>0</v>
      </c>
    </row>
    <row r="65" spans="1:16" ht="18" customHeight="1" x14ac:dyDescent="0.25">
      <c r="A65" s="363" t="s">
        <v>79</v>
      </c>
      <c r="B65" s="60">
        <v>661</v>
      </c>
      <c r="C65" s="60">
        <v>399</v>
      </c>
      <c r="D65" s="797">
        <f t="shared" si="13"/>
        <v>262</v>
      </c>
      <c r="E65" s="60"/>
      <c r="F65" s="363" t="s">
        <v>79</v>
      </c>
      <c r="G65" s="60">
        <v>334</v>
      </c>
      <c r="H65" s="60">
        <v>334</v>
      </c>
      <c r="I65" s="797">
        <f t="shared" si="14"/>
        <v>0</v>
      </c>
    </row>
    <row r="66" spans="1:16" ht="18" customHeight="1" x14ac:dyDescent="0.25">
      <c r="A66" s="363" t="s">
        <v>66</v>
      </c>
      <c r="B66" s="60">
        <v>370</v>
      </c>
      <c r="C66" s="60">
        <v>370</v>
      </c>
      <c r="D66" s="797">
        <f t="shared" si="13"/>
        <v>0</v>
      </c>
      <c r="E66" s="75"/>
      <c r="F66" s="363" t="s">
        <v>66</v>
      </c>
      <c r="G66" s="60">
        <v>282</v>
      </c>
      <c r="H66" s="60">
        <v>282</v>
      </c>
      <c r="I66" s="797">
        <f t="shared" si="14"/>
        <v>0</v>
      </c>
    </row>
    <row r="67" spans="1:16" ht="18" customHeight="1" x14ac:dyDescent="0.25">
      <c r="A67" s="363" t="s">
        <v>56</v>
      </c>
      <c r="B67" s="60">
        <v>285</v>
      </c>
      <c r="C67" s="60">
        <v>294</v>
      </c>
      <c r="D67" s="797">
        <f t="shared" si="13"/>
        <v>-9</v>
      </c>
      <c r="F67" s="363" t="s">
        <v>56</v>
      </c>
      <c r="G67" s="60">
        <v>262</v>
      </c>
      <c r="H67" s="60">
        <v>262</v>
      </c>
      <c r="I67" s="797">
        <f t="shared" si="14"/>
        <v>0</v>
      </c>
    </row>
    <row r="68" spans="1:16" ht="18" customHeight="1" x14ac:dyDescent="0.25">
      <c r="A68" s="364" t="s">
        <v>59</v>
      </c>
      <c r="B68" s="69">
        <v>260</v>
      </c>
      <c r="C68" s="69">
        <v>259</v>
      </c>
      <c r="D68" s="798">
        <f t="shared" si="13"/>
        <v>1</v>
      </c>
      <c r="E68" s="31"/>
      <c r="F68" s="364" t="s">
        <v>59</v>
      </c>
      <c r="G68" s="69">
        <v>163</v>
      </c>
      <c r="H68" s="69">
        <v>161</v>
      </c>
      <c r="I68" s="798">
        <f t="shared" si="14"/>
        <v>2</v>
      </c>
    </row>
    <row r="69" spans="1:16" ht="18" customHeight="1" x14ac:dyDescent="0.25">
      <c r="B69" s="573">
        <f>SUM(B57:B68)</f>
        <v>5484</v>
      </c>
      <c r="C69" s="573">
        <f>SUM(C57:C68)</f>
        <v>4393</v>
      </c>
      <c r="D69" s="573">
        <f>B69-C69</f>
        <v>1091</v>
      </c>
      <c r="E69" s="31"/>
      <c r="F69" s="2"/>
      <c r="G69" s="573">
        <f>SUM(G57:G68)</f>
        <v>4235</v>
      </c>
      <c r="H69" s="573">
        <f>SUM(H57:H68)</f>
        <v>4186</v>
      </c>
      <c r="I69" s="36">
        <f t="shared" si="14"/>
        <v>49</v>
      </c>
    </row>
    <row r="71" spans="1:16" ht="18" customHeight="1" x14ac:dyDescent="0.3">
      <c r="A71" s="224">
        <v>2006</v>
      </c>
      <c r="E71" s="60"/>
      <c r="F71" s="224">
        <v>2005</v>
      </c>
      <c r="G71" s="2"/>
      <c r="H71" s="2"/>
      <c r="I71" s="2"/>
    </row>
    <row r="72" spans="1:16" ht="18" customHeight="1" x14ac:dyDescent="0.25">
      <c r="A72" s="106"/>
      <c r="B72" s="5" t="s">
        <v>568</v>
      </c>
      <c r="C72" s="5" t="s">
        <v>908</v>
      </c>
      <c r="D72" s="5" t="s">
        <v>596</v>
      </c>
      <c r="E72" s="60"/>
      <c r="F72" s="106"/>
      <c r="G72" s="5" t="s">
        <v>568</v>
      </c>
      <c r="H72" s="5" t="s">
        <v>908</v>
      </c>
      <c r="I72" s="5" t="s">
        <v>596</v>
      </c>
    </row>
    <row r="73" spans="1:16" ht="18" customHeight="1" x14ac:dyDescent="0.25">
      <c r="A73" s="362" t="s">
        <v>54</v>
      </c>
      <c r="B73" s="387">
        <v>181</v>
      </c>
      <c r="C73" s="365">
        <v>181</v>
      </c>
      <c r="D73" s="796">
        <f>B73-C73</f>
        <v>0</v>
      </c>
      <c r="E73" s="60"/>
      <c r="F73" s="362" t="s">
        <v>54</v>
      </c>
      <c r="G73" s="387">
        <v>825</v>
      </c>
      <c r="H73" s="365">
        <v>825</v>
      </c>
      <c r="I73" s="796">
        <f>G73-H73</f>
        <v>0</v>
      </c>
    </row>
    <row r="74" spans="1:16" ht="18" customHeight="1" x14ac:dyDescent="0.25">
      <c r="A74" s="363" t="s">
        <v>55</v>
      </c>
      <c r="B74" s="388">
        <v>240</v>
      </c>
      <c r="C74" s="60">
        <v>236</v>
      </c>
      <c r="D74" s="797">
        <f t="shared" ref="D74:D84" si="15">B74-C74</f>
        <v>4</v>
      </c>
      <c r="E74" s="60"/>
      <c r="F74" s="363" t="s">
        <v>55</v>
      </c>
      <c r="G74" s="388">
        <v>548</v>
      </c>
      <c r="H74" s="60">
        <v>548</v>
      </c>
      <c r="I74" s="797">
        <f t="shared" ref="I74:I85" si="16">G74-H74</f>
        <v>0</v>
      </c>
    </row>
    <row r="75" spans="1:16" ht="18" customHeight="1" x14ac:dyDescent="0.25">
      <c r="A75" s="363" t="s">
        <v>58</v>
      </c>
      <c r="B75" s="388">
        <v>145</v>
      </c>
      <c r="C75" s="60">
        <v>145</v>
      </c>
      <c r="D75" s="797">
        <f t="shared" si="15"/>
        <v>0</v>
      </c>
      <c r="E75" s="60"/>
      <c r="F75" s="363" t="s">
        <v>58</v>
      </c>
      <c r="G75" s="388">
        <v>621</v>
      </c>
      <c r="H75" s="60">
        <v>621</v>
      </c>
      <c r="I75" s="797">
        <f t="shared" si="16"/>
        <v>0</v>
      </c>
    </row>
    <row r="76" spans="1:16" ht="18" customHeight="1" x14ac:dyDescent="0.25">
      <c r="A76" s="363" t="s">
        <v>61</v>
      </c>
      <c r="B76" s="388">
        <v>158</v>
      </c>
      <c r="C76" s="60">
        <v>158</v>
      </c>
      <c r="D76" s="797">
        <f t="shared" si="15"/>
        <v>0</v>
      </c>
      <c r="E76" s="60"/>
      <c r="F76" s="363" t="s">
        <v>61</v>
      </c>
      <c r="G76" s="388">
        <v>406</v>
      </c>
      <c r="H76" s="60">
        <v>406</v>
      </c>
      <c r="I76" s="797">
        <f t="shared" si="16"/>
        <v>0</v>
      </c>
    </row>
    <row r="77" spans="1:16" ht="18" customHeight="1" x14ac:dyDescent="0.25">
      <c r="A77" s="363" t="s">
        <v>63</v>
      </c>
      <c r="B77" s="388">
        <v>292</v>
      </c>
      <c r="C77" s="60">
        <v>292</v>
      </c>
      <c r="D77" s="797">
        <f t="shared" si="15"/>
        <v>0</v>
      </c>
      <c r="E77" s="60"/>
      <c r="F77" s="363" t="s">
        <v>63</v>
      </c>
      <c r="G77" s="388">
        <v>594</v>
      </c>
      <c r="H77" s="60">
        <v>594</v>
      </c>
      <c r="I77" s="797">
        <f t="shared" si="16"/>
        <v>0</v>
      </c>
    </row>
    <row r="78" spans="1:16" ht="18" customHeight="1" x14ac:dyDescent="0.25">
      <c r="A78" s="364" t="s">
        <v>65</v>
      </c>
      <c r="B78" s="389">
        <v>439</v>
      </c>
      <c r="C78" s="69">
        <v>439</v>
      </c>
      <c r="D78" s="798">
        <f t="shared" si="15"/>
        <v>0</v>
      </c>
      <c r="E78" s="60"/>
      <c r="F78" s="364" t="s">
        <v>65</v>
      </c>
      <c r="G78" s="389">
        <v>319</v>
      </c>
      <c r="H78" s="69">
        <v>305</v>
      </c>
      <c r="I78" s="798">
        <f t="shared" si="16"/>
        <v>14</v>
      </c>
    </row>
    <row r="79" spans="1:16" ht="18" customHeight="1" x14ac:dyDescent="0.25">
      <c r="A79" s="363" t="s">
        <v>67</v>
      </c>
      <c r="B79" s="60">
        <v>515</v>
      </c>
      <c r="C79" s="60">
        <v>472</v>
      </c>
      <c r="D79" s="797">
        <f t="shared" si="15"/>
        <v>43</v>
      </c>
      <c r="E79" s="60"/>
      <c r="F79" s="363" t="s">
        <v>67</v>
      </c>
      <c r="G79" s="60">
        <v>321</v>
      </c>
      <c r="H79" s="60">
        <v>358</v>
      </c>
      <c r="I79" s="797">
        <f t="shared" si="16"/>
        <v>-37</v>
      </c>
      <c r="P79" s="2">
        <v>65</v>
      </c>
    </row>
    <row r="80" spans="1:16" ht="18" customHeight="1" x14ac:dyDescent="0.25">
      <c r="A80" s="363" t="s">
        <v>62</v>
      </c>
      <c r="B80" s="60">
        <v>544</v>
      </c>
      <c r="C80" s="60">
        <v>544</v>
      </c>
      <c r="D80" s="797">
        <f t="shared" si="15"/>
        <v>0</v>
      </c>
      <c r="E80" s="60"/>
      <c r="F80" s="363" t="s">
        <v>62</v>
      </c>
      <c r="G80" s="60">
        <v>445</v>
      </c>
      <c r="H80" s="60">
        <v>443</v>
      </c>
      <c r="I80" s="797">
        <f t="shared" si="16"/>
        <v>2</v>
      </c>
    </row>
    <row r="81" spans="1:16" ht="18" customHeight="1" x14ac:dyDescent="0.25">
      <c r="A81" s="363" t="s">
        <v>79</v>
      </c>
      <c r="B81" s="60">
        <v>461</v>
      </c>
      <c r="C81" s="60">
        <v>461</v>
      </c>
      <c r="D81" s="797">
        <f t="shared" si="15"/>
        <v>0</v>
      </c>
      <c r="E81" s="60"/>
      <c r="F81" s="363" t="s">
        <v>79</v>
      </c>
      <c r="G81" s="60">
        <v>386</v>
      </c>
      <c r="H81" s="60">
        <v>386</v>
      </c>
      <c r="I81" s="797">
        <f t="shared" si="16"/>
        <v>0</v>
      </c>
    </row>
    <row r="82" spans="1:16" ht="18" customHeight="1" x14ac:dyDescent="0.25">
      <c r="A82" s="363" t="s">
        <v>66</v>
      </c>
      <c r="B82" s="60">
        <v>374</v>
      </c>
      <c r="C82" s="60">
        <v>374</v>
      </c>
      <c r="D82" s="797">
        <f t="shared" si="15"/>
        <v>0</v>
      </c>
      <c r="E82" s="75"/>
      <c r="F82" s="363" t="s">
        <v>66</v>
      </c>
      <c r="G82" s="60">
        <v>280</v>
      </c>
      <c r="H82" s="60">
        <v>280</v>
      </c>
      <c r="I82" s="797">
        <f t="shared" si="16"/>
        <v>0</v>
      </c>
    </row>
    <row r="83" spans="1:16" ht="18" customHeight="1" x14ac:dyDescent="0.25">
      <c r="A83" s="363" t="s">
        <v>56</v>
      </c>
      <c r="B83" s="60">
        <v>265</v>
      </c>
      <c r="C83" s="60">
        <v>266</v>
      </c>
      <c r="D83" s="797">
        <f t="shared" si="15"/>
        <v>-1</v>
      </c>
      <c r="F83" s="363" t="s">
        <v>56</v>
      </c>
      <c r="G83" s="60">
        <v>290</v>
      </c>
      <c r="H83" s="60">
        <v>290</v>
      </c>
      <c r="I83" s="797">
        <f t="shared" si="16"/>
        <v>0</v>
      </c>
    </row>
    <row r="84" spans="1:16" ht="18" customHeight="1" x14ac:dyDescent="0.25">
      <c r="A84" s="364" t="s">
        <v>59</v>
      </c>
      <c r="B84" s="69">
        <v>215</v>
      </c>
      <c r="C84" s="69">
        <v>215</v>
      </c>
      <c r="D84" s="798">
        <f t="shared" si="15"/>
        <v>0</v>
      </c>
      <c r="E84" s="31"/>
      <c r="F84" s="364" t="s">
        <v>59</v>
      </c>
      <c r="G84" s="69">
        <v>172</v>
      </c>
      <c r="H84" s="69">
        <v>172</v>
      </c>
      <c r="I84" s="798">
        <f t="shared" si="16"/>
        <v>0</v>
      </c>
    </row>
    <row r="85" spans="1:16" ht="18" customHeight="1" x14ac:dyDescent="0.25">
      <c r="B85" s="573">
        <f>SUM(B73:B84)</f>
        <v>3829</v>
      </c>
      <c r="C85" s="573">
        <f>SUM(C73:C84)</f>
        <v>3783</v>
      </c>
      <c r="D85" s="573">
        <f>B85-C85</f>
        <v>46</v>
      </c>
      <c r="E85" s="31"/>
      <c r="F85" s="2"/>
      <c r="G85" s="573">
        <f>SUM(G73:G84)</f>
        <v>5207</v>
      </c>
      <c r="H85" s="573">
        <f>SUM(H73:H84)</f>
        <v>5228</v>
      </c>
      <c r="I85" s="36">
        <f t="shared" si="16"/>
        <v>-21</v>
      </c>
    </row>
    <row r="86" spans="1:16" ht="18" customHeight="1" x14ac:dyDescent="0.25">
      <c r="B86" s="36"/>
      <c r="C86" s="36"/>
      <c r="D86" s="36"/>
      <c r="E86" s="75"/>
      <c r="F86" s="75"/>
      <c r="G86" s="75"/>
      <c r="H86" s="75"/>
      <c r="I86" s="75"/>
    </row>
    <row r="95" spans="1:16" ht="18" customHeight="1" x14ac:dyDescent="0.2">
      <c r="P95" s="2">
        <v>61.8</v>
      </c>
    </row>
    <row r="173" spans="30:30" ht="18" customHeight="1" x14ac:dyDescent="0.2">
      <c r="AD173" s="2">
        <v>541.70000000000005</v>
      </c>
    </row>
    <row r="174" spans="30:30" ht="18" customHeight="1" x14ac:dyDescent="0.2">
      <c r="AD174" s="2">
        <f>996.6-AC173</f>
        <v>996.6</v>
      </c>
    </row>
  </sheetData>
  <mergeCells count="13">
    <mergeCell ref="V41:W41"/>
    <mergeCell ref="V24:W24"/>
    <mergeCell ref="AK24:AL24"/>
    <mergeCell ref="AK41:AL41"/>
    <mergeCell ref="V7:W7"/>
    <mergeCell ref="AK7:AL7"/>
    <mergeCell ref="AC4:AE4"/>
    <mergeCell ref="D4:F4"/>
    <mergeCell ref="N1:R1"/>
    <mergeCell ref="O3:Q3"/>
    <mergeCell ref="AT3:AX3"/>
    <mergeCell ref="AU4:AW4"/>
    <mergeCell ref="O4:Q4"/>
  </mergeCells>
  <phoneticPr fontId="0" type="noConversion"/>
  <printOptions horizontalCentered="1" verticalCentered="1"/>
  <pageMargins left="0.45" right="0.45" top="0.5" bottom="0.5" header="0.3" footer="0.3"/>
  <pageSetup scale="70" orientation="portrait" r:id="rId1"/>
  <headerFooter>
    <oddFooter>&amp;L&amp;"Arial,Regular"&amp;10MONTHLY PRODUCTION / &amp;F (totrpt2).xls&amp;R&amp;"Arial,Regular"&amp;10&amp;D</oddFooter>
  </headerFooter>
  <colBreaks count="3" manualBreakCount="3">
    <brk id="9" max="1048575" man="1"/>
    <brk id="38" max="1048575" man="1"/>
    <brk id="56" max="1048575" man="1"/>
  </colBreaks>
  <ignoredErrors>
    <ignoredError sqref="AH3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AD357"/>
  <sheetViews>
    <sheetView zoomScale="90" zoomScaleNormal="90" zoomScaleSheetLayoutView="100" workbookViewId="0">
      <pane ySplit="3" topLeftCell="A324" activePane="bottomLeft" state="frozen"/>
      <selection activeCell="U198" sqref="U198"/>
      <selection pane="bottomLeft" activeCell="E352" sqref="E352"/>
    </sheetView>
  </sheetViews>
  <sheetFormatPr defaultColWidth="9" defaultRowHeight="16.350000000000001" customHeight="1" x14ac:dyDescent="0.2"/>
  <cols>
    <col min="1" max="3" width="8.75" style="15" customWidth="1"/>
    <col min="4" max="4" width="8.75" style="687" customWidth="1"/>
    <col min="5" max="5" width="8.75" style="15" customWidth="1"/>
    <col min="6" max="6" width="1.875" style="15" customWidth="1"/>
    <col min="7" max="11" width="8.75" style="15" customWidth="1"/>
    <col min="12" max="12" width="1.875" style="15" customWidth="1"/>
    <col min="13" max="14" width="8.75" style="15" customWidth="1"/>
    <col min="15" max="15" width="9.375" style="15" customWidth="1"/>
    <col min="16" max="17" width="8.75" style="15" customWidth="1"/>
    <col min="18" max="16384" width="9" style="15"/>
  </cols>
  <sheetData>
    <row r="1" spans="1:17" ht="16.350000000000001" customHeight="1" x14ac:dyDescent="0.25">
      <c r="A1" s="1698" t="s">
        <v>853</v>
      </c>
      <c r="B1" s="1698"/>
      <c r="C1" s="1698"/>
      <c r="D1" s="1698"/>
      <c r="E1" s="1698"/>
      <c r="G1" s="1698" t="s">
        <v>220</v>
      </c>
      <c r="H1" s="1698"/>
      <c r="I1" s="1698"/>
      <c r="J1" s="1698"/>
      <c r="K1" s="1698"/>
      <c r="L1" s="31"/>
      <c r="M1" s="1698" t="s">
        <v>103</v>
      </c>
      <c r="N1" s="1698"/>
      <c r="O1" s="1698"/>
      <c r="P1" s="1698"/>
      <c r="Q1" s="1698"/>
    </row>
    <row r="2" spans="1:17" ht="16.350000000000001" customHeight="1" x14ac:dyDescent="0.25">
      <c r="A2" s="1698" t="s">
        <v>105</v>
      </c>
      <c r="B2" s="1698"/>
      <c r="C2" s="1698"/>
      <c r="D2" s="1698"/>
      <c r="E2" s="1698"/>
      <c r="G2" s="1698" t="s">
        <v>105</v>
      </c>
      <c r="H2" s="1698"/>
      <c r="I2" s="1698"/>
      <c r="J2" s="1698"/>
      <c r="K2" s="1698"/>
      <c r="L2" s="31"/>
      <c r="M2" s="1698" t="s">
        <v>105</v>
      </c>
      <c r="N2" s="1698"/>
      <c r="O2" s="1698"/>
      <c r="P2" s="1698"/>
      <c r="Q2" s="1698"/>
    </row>
    <row r="3" spans="1:17" ht="16.350000000000001" customHeight="1" x14ac:dyDescent="0.2">
      <c r="A3" s="99" t="s">
        <v>851</v>
      </c>
      <c r="G3" s="99" t="s">
        <v>852</v>
      </c>
      <c r="I3" s="28"/>
      <c r="M3" s="28" t="s">
        <v>854</v>
      </c>
    </row>
    <row r="4" spans="1:17" ht="16.350000000000001" customHeight="1" x14ac:dyDescent="0.2">
      <c r="A4" s="99"/>
    </row>
    <row r="5" spans="1:17" ht="16.350000000000001" customHeight="1" x14ac:dyDescent="0.25">
      <c r="A5" s="28"/>
      <c r="B5" s="81"/>
      <c r="C5" s="31">
        <v>1998</v>
      </c>
      <c r="D5" s="76"/>
      <c r="E5" s="121"/>
      <c r="G5" s="87"/>
      <c r="H5" s="81"/>
      <c r="I5" s="31">
        <v>1998</v>
      </c>
      <c r="J5" s="32"/>
      <c r="K5" s="123"/>
      <c r="N5" s="4"/>
      <c r="O5" s="77">
        <v>1998</v>
      </c>
      <c r="P5" s="47"/>
    </row>
    <row r="6" spans="1:17" ht="16.350000000000001" customHeight="1" x14ac:dyDescent="0.2">
      <c r="A6" s="34"/>
      <c r="B6" s="23" t="s">
        <v>850</v>
      </c>
      <c r="C6" s="23" t="s">
        <v>848</v>
      </c>
      <c r="D6" s="688" t="s">
        <v>849</v>
      </c>
      <c r="E6" s="124"/>
      <c r="G6" s="93"/>
      <c r="H6" s="23" t="s">
        <v>850</v>
      </c>
      <c r="I6" s="23" t="s">
        <v>848</v>
      </c>
      <c r="J6" s="23" t="s">
        <v>106</v>
      </c>
      <c r="K6" s="125"/>
      <c r="M6" s="93"/>
      <c r="N6" s="23" t="s">
        <v>850</v>
      </c>
      <c r="O6" s="23" t="s">
        <v>848</v>
      </c>
      <c r="P6" s="23" t="s">
        <v>106</v>
      </c>
      <c r="Q6" s="16"/>
    </row>
    <row r="7" spans="1:17" ht="16.350000000000001" customHeight="1" x14ac:dyDescent="0.2">
      <c r="A7" s="32" t="s">
        <v>54</v>
      </c>
      <c r="B7" s="64">
        <v>4.2</v>
      </c>
      <c r="C7" s="64">
        <v>1025.93</v>
      </c>
      <c r="D7" s="84">
        <f>C7/B7</f>
        <v>244.26904761904763</v>
      </c>
      <c r="E7" s="89" t="s">
        <v>244</v>
      </c>
      <c r="G7" s="32" t="s">
        <v>54</v>
      </c>
      <c r="H7" s="64">
        <v>13.2</v>
      </c>
      <c r="I7" s="64"/>
      <c r="J7" s="65"/>
      <c r="K7" s="126"/>
      <c r="M7" s="32" t="s">
        <v>54</v>
      </c>
      <c r="N7" s="64">
        <v>52.1</v>
      </c>
      <c r="O7" s="80">
        <v>6043.31</v>
      </c>
      <c r="P7" s="97">
        <f t="shared" ref="P7:P18" si="0">O7/N7</f>
        <v>115.99443378119003</v>
      </c>
      <c r="Q7" s="90" t="s">
        <v>54</v>
      </c>
    </row>
    <row r="8" spans="1:17" ht="16.350000000000001" customHeight="1" x14ac:dyDescent="0.2">
      <c r="A8" s="32" t="s">
        <v>55</v>
      </c>
      <c r="B8" s="64">
        <v>0.1</v>
      </c>
      <c r="C8" s="64">
        <v>701.38</v>
      </c>
      <c r="D8" s="84">
        <f>C8/B8</f>
        <v>7013.7999999999993</v>
      </c>
      <c r="E8" s="89" t="s">
        <v>245</v>
      </c>
      <c r="G8" s="32" t="s">
        <v>55</v>
      </c>
      <c r="H8" s="64">
        <v>9.6</v>
      </c>
      <c r="I8" s="64">
        <v>523.12</v>
      </c>
      <c r="J8" s="65">
        <f>I8/H8</f>
        <v>54.491666666666667</v>
      </c>
      <c r="K8" s="126" t="s">
        <v>174</v>
      </c>
      <c r="M8" s="32" t="s">
        <v>55</v>
      </c>
      <c r="N8" s="64">
        <v>51.3</v>
      </c>
      <c r="O8" s="80">
        <v>6379.64</v>
      </c>
      <c r="P8" s="97">
        <f t="shared" si="0"/>
        <v>124.35945419103315</v>
      </c>
      <c r="Q8" s="90" t="s">
        <v>55</v>
      </c>
    </row>
    <row r="9" spans="1:17" ht="16.350000000000001" customHeight="1" x14ac:dyDescent="0.2">
      <c r="A9" s="32" t="s">
        <v>58</v>
      </c>
      <c r="B9" s="64">
        <v>1.4</v>
      </c>
      <c r="C9" s="64">
        <v>1117.42</v>
      </c>
      <c r="D9" s="84">
        <f>C9/B9</f>
        <v>798.15714285714296</v>
      </c>
      <c r="E9" s="89" t="s">
        <v>246</v>
      </c>
      <c r="G9" s="32" t="s">
        <v>58</v>
      </c>
      <c r="H9" s="64">
        <v>20.3</v>
      </c>
      <c r="I9" s="64">
        <v>845.7</v>
      </c>
      <c r="J9" s="65">
        <f>I9/H9</f>
        <v>41.660098522167488</v>
      </c>
      <c r="K9" s="126" t="s">
        <v>257</v>
      </c>
      <c r="M9" s="32" t="s">
        <v>58</v>
      </c>
      <c r="N9" s="64">
        <v>58.5</v>
      </c>
      <c r="O9" s="80">
        <v>5457.39</v>
      </c>
      <c r="P9" s="97">
        <f t="shared" si="0"/>
        <v>93.288717948717959</v>
      </c>
      <c r="Q9" s="90" t="s">
        <v>58</v>
      </c>
    </row>
    <row r="10" spans="1:17" ht="16.350000000000001" customHeight="1" x14ac:dyDescent="0.2">
      <c r="A10" s="32" t="s">
        <v>61</v>
      </c>
      <c r="B10" s="64">
        <v>0</v>
      </c>
      <c r="C10" s="64">
        <v>0</v>
      </c>
      <c r="D10" s="84">
        <v>0</v>
      </c>
      <c r="E10" s="89" t="s">
        <v>248</v>
      </c>
      <c r="G10" s="32" t="s">
        <v>61</v>
      </c>
      <c r="H10" s="64">
        <v>30.7</v>
      </c>
      <c r="I10" s="64">
        <v>698.88</v>
      </c>
      <c r="J10" s="65">
        <f>I10/H10+H9</f>
        <v>43.064820846905533</v>
      </c>
      <c r="K10" s="126" t="s">
        <v>259</v>
      </c>
      <c r="M10" s="32" t="s">
        <v>61</v>
      </c>
      <c r="N10" s="64">
        <v>60.2</v>
      </c>
      <c r="O10" s="80">
        <v>6915.64</v>
      </c>
      <c r="P10" s="97">
        <f t="shared" si="0"/>
        <v>114.87774086378738</v>
      </c>
      <c r="Q10" s="90" t="s">
        <v>61</v>
      </c>
    </row>
    <row r="11" spans="1:17" ht="16.350000000000001" customHeight="1" x14ac:dyDescent="0.2">
      <c r="A11" s="32" t="s">
        <v>63</v>
      </c>
      <c r="B11" s="64">
        <v>27.9</v>
      </c>
      <c r="C11" s="64">
        <v>517.41</v>
      </c>
      <c r="D11" s="84">
        <f t="shared" ref="D11:D19" si="1">C11/B11</f>
        <v>18.545161290322582</v>
      </c>
      <c r="E11" s="89" t="s">
        <v>249</v>
      </c>
      <c r="G11" s="32" t="s">
        <v>63</v>
      </c>
      <c r="H11" s="64">
        <v>44.6</v>
      </c>
      <c r="I11" s="64">
        <v>1151.6099999999999</v>
      </c>
      <c r="J11" s="65">
        <f>I11/H11</f>
        <v>25.820852017937217</v>
      </c>
      <c r="K11" s="126" t="s">
        <v>258</v>
      </c>
      <c r="M11" s="32" t="s">
        <v>63</v>
      </c>
      <c r="N11" s="64">
        <v>110.7</v>
      </c>
      <c r="O11" s="80">
        <v>11967.33</v>
      </c>
      <c r="P11" s="97">
        <f t="shared" si="0"/>
        <v>108.10596205962059</v>
      </c>
      <c r="Q11" s="90" t="s">
        <v>63</v>
      </c>
    </row>
    <row r="12" spans="1:17" ht="16.350000000000001" customHeight="1" x14ac:dyDescent="0.2">
      <c r="A12" s="32" t="s">
        <v>65</v>
      </c>
      <c r="B12" s="64">
        <v>174.8</v>
      </c>
      <c r="C12" s="64">
        <v>4249.41</v>
      </c>
      <c r="D12" s="84">
        <f t="shared" si="1"/>
        <v>24.310125858123566</v>
      </c>
      <c r="E12" s="89" t="s">
        <v>250</v>
      </c>
      <c r="G12" s="32" t="s">
        <v>65</v>
      </c>
      <c r="H12" s="64">
        <v>59.4</v>
      </c>
      <c r="I12" s="64">
        <v>1146.6400000000001</v>
      </c>
      <c r="J12" s="65">
        <f>I12/H12</f>
        <v>19.303703703703707</v>
      </c>
      <c r="K12" s="126" t="s">
        <v>261</v>
      </c>
      <c r="M12" s="32" t="s">
        <v>65</v>
      </c>
      <c r="N12" s="64">
        <v>142.30000000000001</v>
      </c>
      <c r="O12" s="80">
        <v>12575.49</v>
      </c>
      <c r="P12" s="97">
        <f t="shared" si="0"/>
        <v>88.373085031623319</v>
      </c>
      <c r="Q12" s="90" t="s">
        <v>65</v>
      </c>
    </row>
    <row r="13" spans="1:17" ht="16.350000000000001" customHeight="1" x14ac:dyDescent="0.2">
      <c r="A13" s="32" t="s">
        <v>67</v>
      </c>
      <c r="B13" s="64">
        <v>183.6</v>
      </c>
      <c r="C13" s="64">
        <v>10032.4</v>
      </c>
      <c r="D13" s="84">
        <f t="shared" si="1"/>
        <v>54.642701525054463</v>
      </c>
      <c r="E13" s="89" t="s">
        <v>251</v>
      </c>
      <c r="G13" s="32" t="s">
        <v>67</v>
      </c>
      <c r="H13" s="64">
        <v>78.400000000000006</v>
      </c>
      <c r="I13" s="64">
        <v>2193.15</v>
      </c>
      <c r="J13" s="65">
        <f>I13/H13</f>
        <v>27.973852040816325</v>
      </c>
      <c r="K13" s="126" t="s">
        <v>260</v>
      </c>
      <c r="M13" s="32" t="s">
        <v>67</v>
      </c>
      <c r="N13" s="64">
        <v>184.5</v>
      </c>
      <c r="O13" s="80">
        <v>16807.439999999999</v>
      </c>
      <c r="P13" s="97">
        <f t="shared" si="0"/>
        <v>91.09723577235772</v>
      </c>
      <c r="Q13" s="90" t="s">
        <v>67</v>
      </c>
    </row>
    <row r="14" spans="1:17" ht="16.350000000000001" customHeight="1" x14ac:dyDescent="0.2">
      <c r="A14" s="32" t="s">
        <v>62</v>
      </c>
      <c r="B14" s="64">
        <v>69.7</v>
      </c>
      <c r="C14" s="64">
        <v>6972.4</v>
      </c>
      <c r="D14" s="84">
        <f t="shared" si="1"/>
        <v>100.03443328550932</v>
      </c>
      <c r="E14" s="89" t="s">
        <v>252</v>
      </c>
      <c r="G14" s="32" t="s">
        <v>62</v>
      </c>
      <c r="H14" s="64">
        <v>94.9</v>
      </c>
      <c r="I14" s="64">
        <v>1707.02</v>
      </c>
      <c r="J14" s="65">
        <f>(SUM(I12:I14)/(SUM(H12:H14)))</f>
        <v>21.688053287494625</v>
      </c>
      <c r="K14" s="126" t="s">
        <v>262</v>
      </c>
      <c r="M14" s="32" t="s">
        <v>62</v>
      </c>
      <c r="N14" s="64">
        <v>169.1</v>
      </c>
      <c r="O14" s="80">
        <v>13587.78</v>
      </c>
      <c r="P14" s="97">
        <f t="shared" si="0"/>
        <v>80.353518628030756</v>
      </c>
      <c r="Q14" s="90" t="s">
        <v>62</v>
      </c>
    </row>
    <row r="15" spans="1:17" ht="16.350000000000001" customHeight="1" x14ac:dyDescent="0.2">
      <c r="A15" s="32" t="s">
        <v>64</v>
      </c>
      <c r="B15" s="64">
        <v>26.9</v>
      </c>
      <c r="C15" s="64">
        <v>4319.13</v>
      </c>
      <c r="D15" s="84">
        <f t="shared" si="1"/>
        <v>160.56245353159852</v>
      </c>
      <c r="E15" s="90" t="s">
        <v>253</v>
      </c>
      <c r="G15" s="32" t="s">
        <v>64</v>
      </c>
      <c r="H15" s="64">
        <v>68.599999999999994</v>
      </c>
      <c r="I15" s="64">
        <v>2115.17</v>
      </c>
      <c r="J15" s="65">
        <f>I15/H15</f>
        <v>30.833381924198253</v>
      </c>
      <c r="K15" s="126" t="s">
        <v>263</v>
      </c>
      <c r="M15" s="32" t="s">
        <v>64</v>
      </c>
      <c r="N15" s="64">
        <v>139</v>
      </c>
      <c r="O15" s="80">
        <v>9700.4500000000007</v>
      </c>
      <c r="P15" s="97">
        <f t="shared" si="0"/>
        <v>69.787410071942446</v>
      </c>
      <c r="Q15" s="90" t="s">
        <v>64</v>
      </c>
    </row>
    <row r="16" spans="1:17" ht="16.350000000000001" customHeight="1" x14ac:dyDescent="0.2">
      <c r="A16" s="32" t="s">
        <v>66</v>
      </c>
      <c r="B16" s="64">
        <v>63.9</v>
      </c>
      <c r="C16" s="64">
        <v>2903.95</v>
      </c>
      <c r="D16" s="84">
        <f t="shared" si="1"/>
        <v>45.445226917057902</v>
      </c>
      <c r="E16" s="90" t="s">
        <v>255</v>
      </c>
      <c r="G16" s="32" t="s">
        <v>66</v>
      </c>
      <c r="H16" s="64">
        <v>81.400000000000006</v>
      </c>
      <c r="I16" s="64">
        <v>1712.83</v>
      </c>
      <c r="J16" s="65">
        <f>I16/H16</f>
        <v>21.042137592137589</v>
      </c>
      <c r="K16" s="126" t="s">
        <v>264</v>
      </c>
      <c r="M16" s="32" t="s">
        <v>66</v>
      </c>
      <c r="N16" s="64">
        <v>121.7</v>
      </c>
      <c r="O16" s="80">
        <v>11473.39</v>
      </c>
      <c r="P16" s="97">
        <f t="shared" si="0"/>
        <v>94.276006573541494</v>
      </c>
      <c r="Q16" s="90" t="s">
        <v>66</v>
      </c>
    </row>
    <row r="17" spans="1:17" ht="16.350000000000001" customHeight="1" x14ac:dyDescent="0.2">
      <c r="A17" s="32" t="s">
        <v>56</v>
      </c>
      <c r="B17" s="64">
        <v>18</v>
      </c>
      <c r="C17" s="64">
        <v>2007.68</v>
      </c>
      <c r="D17" s="84">
        <f t="shared" si="1"/>
        <v>111.53777777777778</v>
      </c>
      <c r="E17" s="90" t="s">
        <v>256</v>
      </c>
      <c r="G17" s="32" t="s">
        <v>56</v>
      </c>
      <c r="H17" s="64">
        <v>39</v>
      </c>
      <c r="I17" s="64">
        <v>1708.72</v>
      </c>
      <c r="J17" s="65">
        <f>I17/H17</f>
        <v>43.813333333333333</v>
      </c>
      <c r="K17" s="126" t="s">
        <v>265</v>
      </c>
      <c r="M17" s="32" t="s">
        <v>56</v>
      </c>
      <c r="N17" s="64">
        <v>103.3</v>
      </c>
      <c r="O17" s="80">
        <v>9700.4500000000007</v>
      </c>
      <c r="P17" s="97">
        <f t="shared" si="0"/>
        <v>93.905614714424019</v>
      </c>
      <c r="Q17" s="90" t="s">
        <v>56</v>
      </c>
    </row>
    <row r="18" spans="1:17" ht="16.350000000000001" customHeight="1" x14ac:dyDescent="0.2">
      <c r="A18" s="52" t="s">
        <v>59</v>
      </c>
      <c r="B18" s="24">
        <v>142.6</v>
      </c>
      <c r="C18" s="24">
        <v>1119.0899999999999</v>
      </c>
      <c r="D18" s="71">
        <f t="shared" si="1"/>
        <v>7.8477559607293124</v>
      </c>
      <c r="E18" s="95" t="s">
        <v>254</v>
      </c>
      <c r="G18" s="52" t="s">
        <v>59</v>
      </c>
      <c r="H18" s="24">
        <v>29.4</v>
      </c>
      <c r="I18" s="24">
        <v>883.53</v>
      </c>
      <c r="J18" s="104">
        <f>I18/H18</f>
        <v>30.052040816326532</v>
      </c>
      <c r="K18" s="128" t="s">
        <v>266</v>
      </c>
      <c r="M18" s="52" t="s">
        <v>59</v>
      </c>
      <c r="N18" s="24">
        <v>79.5</v>
      </c>
      <c r="O18" s="70">
        <v>7223.6</v>
      </c>
      <c r="P18" s="127">
        <f t="shared" si="0"/>
        <v>90.862893081761015</v>
      </c>
      <c r="Q18" s="95" t="s">
        <v>59</v>
      </c>
    </row>
    <row r="19" spans="1:17" ht="16.350000000000001" customHeight="1" x14ac:dyDescent="0.2">
      <c r="A19" s="81" t="s">
        <v>30</v>
      </c>
      <c r="B19" s="65">
        <f>+SUM(B7:B18)</f>
        <v>713.1</v>
      </c>
      <c r="C19" s="65">
        <f>+SUM(C7:C18)</f>
        <v>34966.199999999997</v>
      </c>
      <c r="D19" s="84">
        <f t="shared" si="1"/>
        <v>49.03407656710138</v>
      </c>
      <c r="E19" s="90"/>
      <c r="G19" s="76" t="s">
        <v>30</v>
      </c>
      <c r="H19" s="65">
        <f>+SUM(H7:H18)</f>
        <v>569.5</v>
      </c>
      <c r="I19" s="65">
        <f>+SUM(I7:I18)</f>
        <v>14686.37</v>
      </c>
      <c r="J19" s="65">
        <f>I19/H19</f>
        <v>25.788182616330115</v>
      </c>
      <c r="K19" s="90"/>
      <c r="M19" s="1436">
        <v>69</v>
      </c>
      <c r="N19" s="65">
        <f>+SUM(N7:N18)</f>
        <v>1272.2</v>
      </c>
      <c r="O19" s="65">
        <f>+SUM(O7:O18)</f>
        <v>117831.90999999999</v>
      </c>
      <c r="P19" s="97">
        <f>O19/N19</f>
        <v>92.620586385788386</v>
      </c>
      <c r="Q19" s="126"/>
    </row>
    <row r="20" spans="1:17" ht="16.350000000000001" customHeight="1" x14ac:dyDescent="0.2">
      <c r="A20" s="28"/>
      <c r="B20" s="28"/>
      <c r="C20" s="28"/>
      <c r="D20" s="87"/>
      <c r="E20" s="122"/>
    </row>
    <row r="22" spans="1:17" ht="16.350000000000001" customHeight="1" x14ac:dyDescent="0.25">
      <c r="A22" s="59"/>
      <c r="B22" s="81"/>
      <c r="C22" s="77">
        <v>1999</v>
      </c>
      <c r="D22" s="87"/>
      <c r="E22" s="86"/>
      <c r="G22" s="59"/>
      <c r="H22" s="81"/>
      <c r="I22" s="77">
        <v>1999</v>
      </c>
      <c r="J22" s="28"/>
      <c r="K22" s="47"/>
      <c r="M22" s="44"/>
      <c r="O22" s="31">
        <v>1999</v>
      </c>
      <c r="Q22" s="31"/>
    </row>
    <row r="23" spans="1:17" ht="16.350000000000001" customHeight="1" x14ac:dyDescent="0.2">
      <c r="A23" s="101"/>
      <c r="B23" s="23" t="s">
        <v>850</v>
      </c>
      <c r="C23" s="23" t="s">
        <v>848</v>
      </c>
      <c r="D23" s="688" t="s">
        <v>106</v>
      </c>
      <c r="E23" s="100"/>
      <c r="G23" s="101"/>
      <c r="H23" s="23" t="s">
        <v>850</v>
      </c>
      <c r="I23" s="23" t="s">
        <v>848</v>
      </c>
      <c r="J23" s="23" t="s">
        <v>106</v>
      </c>
      <c r="K23" s="94"/>
      <c r="M23" s="101"/>
      <c r="N23" s="23" t="s">
        <v>850</v>
      </c>
      <c r="O23" s="23" t="s">
        <v>848</v>
      </c>
      <c r="P23" s="23" t="s">
        <v>106</v>
      </c>
      <c r="Q23" s="94"/>
    </row>
    <row r="24" spans="1:17" ht="16.350000000000001" customHeight="1" x14ac:dyDescent="0.2">
      <c r="A24" s="63" t="s">
        <v>54</v>
      </c>
      <c r="B24" s="64">
        <f>6567700/43560</f>
        <v>150.77364554637282</v>
      </c>
      <c r="C24" s="80">
        <v>6942.38</v>
      </c>
      <c r="D24" s="84">
        <f>C24/B24</f>
        <v>46.045049682537268</v>
      </c>
      <c r="E24" s="90" t="s">
        <v>155</v>
      </c>
      <c r="G24" s="63" t="s">
        <v>54</v>
      </c>
      <c r="H24" s="64">
        <v>34.1</v>
      </c>
      <c r="I24" s="64">
        <v>29.4</v>
      </c>
      <c r="J24" s="65">
        <f t="shared" ref="J24:J32" si="2">I24/H24</f>
        <v>0.86217008797653949</v>
      </c>
      <c r="K24" s="126" t="s">
        <v>267</v>
      </c>
      <c r="M24" s="63" t="s">
        <v>54</v>
      </c>
      <c r="N24" s="64">
        <v>86.1</v>
      </c>
      <c r="O24" s="64">
        <v>10430.36</v>
      </c>
      <c r="P24" s="65">
        <f t="shared" ref="P24:P35" si="3">O24/N24</f>
        <v>121.14239256678283</v>
      </c>
      <c r="Q24" s="90" t="s">
        <v>54</v>
      </c>
    </row>
    <row r="25" spans="1:17" ht="16.350000000000001" customHeight="1" x14ac:dyDescent="0.2">
      <c r="A25" s="63" t="s">
        <v>55</v>
      </c>
      <c r="B25" s="64">
        <f>2293400/43560</f>
        <v>52.649219467401288</v>
      </c>
      <c r="C25" s="80">
        <v>2148.2600000000002</v>
      </c>
      <c r="D25" s="84">
        <f t="shared" ref="D25:D35" si="4">C25/B25</f>
        <v>40.803263974884452</v>
      </c>
      <c r="E25" s="90" t="s">
        <v>156</v>
      </c>
      <c r="G25" s="63" t="s">
        <v>55</v>
      </c>
      <c r="H25" s="64">
        <v>24.1</v>
      </c>
      <c r="I25" s="64">
        <v>772.36</v>
      </c>
      <c r="J25" s="65">
        <f t="shared" si="2"/>
        <v>32.048132780082987</v>
      </c>
      <c r="K25" s="90" t="s">
        <v>151</v>
      </c>
      <c r="M25" s="63" t="s">
        <v>55</v>
      </c>
      <c r="N25" s="64">
        <v>58.5</v>
      </c>
      <c r="O25" s="64">
        <v>7061.81</v>
      </c>
      <c r="P25" s="65">
        <f t="shared" si="3"/>
        <v>120.71470085470087</v>
      </c>
      <c r="Q25" s="90" t="s">
        <v>55</v>
      </c>
    </row>
    <row r="26" spans="1:17" ht="16.350000000000001" customHeight="1" x14ac:dyDescent="0.2">
      <c r="A26" s="63" t="s">
        <v>58</v>
      </c>
      <c r="B26" s="64">
        <v>65.5</v>
      </c>
      <c r="C26" s="83">
        <v>3503.83</v>
      </c>
      <c r="D26" s="84">
        <f t="shared" si="4"/>
        <v>53.493587786259539</v>
      </c>
      <c r="E26" s="90" t="s">
        <v>157</v>
      </c>
      <c r="G26" s="63" t="s">
        <v>58</v>
      </c>
      <c r="H26" s="64">
        <v>30.5</v>
      </c>
      <c r="I26" s="64">
        <v>1096.1099999999999</v>
      </c>
      <c r="J26" s="65">
        <f t="shared" si="2"/>
        <v>35.938032786885245</v>
      </c>
      <c r="K26" s="90" t="s">
        <v>152</v>
      </c>
      <c r="M26" s="63" t="s">
        <v>58</v>
      </c>
      <c r="N26" s="64">
        <v>72.599999999999994</v>
      </c>
      <c r="O26" s="64">
        <v>6761.6</v>
      </c>
      <c r="P26" s="65">
        <f t="shared" si="3"/>
        <v>93.134986225895332</v>
      </c>
      <c r="Q26" s="90" t="s">
        <v>58</v>
      </c>
    </row>
    <row r="27" spans="1:17" ht="16.350000000000001" customHeight="1" x14ac:dyDescent="0.2">
      <c r="A27" s="63" t="s">
        <v>61</v>
      </c>
      <c r="B27" s="64">
        <v>13.1</v>
      </c>
      <c r="C27" s="83">
        <v>680.38</v>
      </c>
      <c r="D27" s="84">
        <f t="shared" si="4"/>
        <v>51.937404580152673</v>
      </c>
      <c r="E27" s="90" t="s">
        <v>158</v>
      </c>
      <c r="G27" s="63" t="s">
        <v>61</v>
      </c>
      <c r="H27" s="64">
        <v>41.2</v>
      </c>
      <c r="I27" s="64">
        <v>937.76</v>
      </c>
      <c r="J27" s="65">
        <f t="shared" si="2"/>
        <v>22.761165048543688</v>
      </c>
      <c r="K27" s="90" t="s">
        <v>153</v>
      </c>
      <c r="M27" s="63" t="s">
        <v>61</v>
      </c>
      <c r="N27" s="64">
        <v>73.8</v>
      </c>
      <c r="O27" s="64">
        <v>7655.2</v>
      </c>
      <c r="P27" s="65">
        <f t="shared" si="3"/>
        <v>103.7289972899729</v>
      </c>
      <c r="Q27" s="90" t="s">
        <v>61</v>
      </c>
    </row>
    <row r="28" spans="1:17" ht="16.350000000000001" customHeight="1" x14ac:dyDescent="0.2">
      <c r="A28" s="63" t="s">
        <v>63</v>
      </c>
      <c r="B28" s="64">
        <f>2015000/43560</f>
        <v>46.258034894398534</v>
      </c>
      <c r="C28" s="83">
        <f>1778.95+1152.51</f>
        <v>2931.46</v>
      </c>
      <c r="D28" s="84">
        <f t="shared" si="4"/>
        <v>63.371909478908186</v>
      </c>
      <c r="E28" s="90" t="s">
        <v>159</v>
      </c>
      <c r="G28" s="63" t="s">
        <v>63</v>
      </c>
      <c r="H28" s="64">
        <v>60.9</v>
      </c>
      <c r="I28" s="64">
        <v>1421.99</v>
      </c>
      <c r="J28" s="65">
        <f t="shared" si="2"/>
        <v>23.349589490968803</v>
      </c>
      <c r="K28" s="90" t="s">
        <v>154</v>
      </c>
      <c r="M28" s="63" t="s">
        <v>63</v>
      </c>
      <c r="N28" s="64">
        <v>112.1</v>
      </c>
      <c r="O28" s="64">
        <v>10742.33</v>
      </c>
      <c r="P28" s="65">
        <f t="shared" si="3"/>
        <v>95.828099910793938</v>
      </c>
      <c r="Q28" s="90" t="s">
        <v>63</v>
      </c>
    </row>
    <row r="29" spans="1:17" ht="16.350000000000001" customHeight="1" x14ac:dyDescent="0.2">
      <c r="A29" s="63" t="s">
        <v>65</v>
      </c>
      <c r="B29" s="64">
        <f>2718000/43560</f>
        <v>62.396694214876035</v>
      </c>
      <c r="C29" s="83">
        <v>1968.04</v>
      </c>
      <c r="D29" s="84">
        <f t="shared" si="4"/>
        <v>31.540773509933771</v>
      </c>
      <c r="E29" s="90" t="s">
        <v>160</v>
      </c>
      <c r="G29" s="63" t="s">
        <v>65</v>
      </c>
      <c r="H29" s="64">
        <v>67.900000000000006</v>
      </c>
      <c r="I29" s="83">
        <v>1440.01</v>
      </c>
      <c r="J29" s="65">
        <f t="shared" si="2"/>
        <v>21.207805596465388</v>
      </c>
      <c r="K29" s="90" t="s">
        <v>164</v>
      </c>
      <c r="M29" s="63" t="s">
        <v>65</v>
      </c>
      <c r="N29" s="64">
        <v>118.8</v>
      </c>
      <c r="O29" s="64">
        <v>10358.5</v>
      </c>
      <c r="P29" s="65">
        <f t="shared" si="3"/>
        <v>87.192760942760941</v>
      </c>
      <c r="Q29" s="90" t="s">
        <v>65</v>
      </c>
    </row>
    <row r="30" spans="1:17" ht="16.350000000000001" customHeight="1" x14ac:dyDescent="0.2">
      <c r="A30" s="63" t="s">
        <v>67</v>
      </c>
      <c r="B30" s="64">
        <v>44.7</v>
      </c>
      <c r="C30" s="83">
        <v>4893.88</v>
      </c>
      <c r="D30" s="84">
        <f t="shared" si="4"/>
        <v>109.482774049217</v>
      </c>
      <c r="E30" s="90" t="s">
        <v>161</v>
      </c>
      <c r="G30" s="63" t="s">
        <v>67</v>
      </c>
      <c r="H30" s="64">
        <v>134</v>
      </c>
      <c r="I30" s="83">
        <v>2377.13</v>
      </c>
      <c r="J30" s="65">
        <f t="shared" si="2"/>
        <v>17.739776119402986</v>
      </c>
      <c r="K30" s="90" t="s">
        <v>165</v>
      </c>
      <c r="M30" s="63" t="s">
        <v>67</v>
      </c>
      <c r="N30" s="64">
        <v>164.6</v>
      </c>
      <c r="O30" s="64">
        <v>13455.17</v>
      </c>
      <c r="P30" s="65">
        <f t="shared" si="3"/>
        <v>81.744653705953837</v>
      </c>
      <c r="Q30" s="90" t="s">
        <v>67</v>
      </c>
    </row>
    <row r="31" spans="1:17" ht="16.350000000000001" customHeight="1" x14ac:dyDescent="0.2">
      <c r="A31" s="63" t="s">
        <v>62</v>
      </c>
      <c r="B31" s="64">
        <v>32.5</v>
      </c>
      <c r="C31" s="80"/>
      <c r="D31" s="84"/>
      <c r="E31" s="90" t="s">
        <v>171</v>
      </c>
      <c r="G31" s="63" t="s">
        <v>62</v>
      </c>
      <c r="H31" s="64">
        <v>119.8</v>
      </c>
      <c r="I31" s="83">
        <v>2959.78</v>
      </c>
      <c r="J31" s="65">
        <f t="shared" si="2"/>
        <v>24.706010016694492</v>
      </c>
      <c r="K31" s="90" t="s">
        <v>166</v>
      </c>
      <c r="M31" s="63" t="s">
        <v>62</v>
      </c>
      <c r="N31" s="64">
        <v>163.38999999999999</v>
      </c>
      <c r="O31" s="64">
        <v>12728.02</v>
      </c>
      <c r="P31" s="65">
        <f t="shared" si="3"/>
        <v>77.899626660138324</v>
      </c>
      <c r="Q31" s="90" t="s">
        <v>62</v>
      </c>
    </row>
    <row r="32" spans="1:17" ht="16.350000000000001" customHeight="1" x14ac:dyDescent="0.2">
      <c r="A32" s="63" t="s">
        <v>64</v>
      </c>
      <c r="B32" s="64">
        <v>33.299999999999997</v>
      </c>
      <c r="C32" s="80">
        <v>7115.34</v>
      </c>
      <c r="D32" s="84">
        <v>108.14</v>
      </c>
      <c r="E32" s="90" t="s">
        <v>247</v>
      </c>
      <c r="G32" s="63" t="s">
        <v>64</v>
      </c>
      <c r="H32" s="91">
        <v>74.400000000000006</v>
      </c>
      <c r="I32" s="80">
        <v>2307.8000000000002</v>
      </c>
      <c r="J32" s="65">
        <f t="shared" si="2"/>
        <v>31.018817204301076</v>
      </c>
      <c r="K32" s="90" t="s">
        <v>172</v>
      </c>
      <c r="M32" s="63" t="s">
        <v>64</v>
      </c>
      <c r="N32" s="64">
        <v>143.27000000000001</v>
      </c>
      <c r="O32" s="64">
        <v>12958.18</v>
      </c>
      <c r="P32" s="65">
        <f t="shared" si="3"/>
        <v>90.445871431562779</v>
      </c>
      <c r="Q32" s="90" t="s">
        <v>64</v>
      </c>
    </row>
    <row r="33" spans="1:17" ht="16.350000000000001" customHeight="1" x14ac:dyDescent="0.2">
      <c r="A33" s="63" t="s">
        <v>66</v>
      </c>
      <c r="B33" s="64">
        <f>971800/43560</f>
        <v>22.309458218549128</v>
      </c>
      <c r="C33" s="83">
        <v>3814.42</v>
      </c>
      <c r="D33" s="84">
        <f t="shared" si="4"/>
        <v>170.97770652397614</v>
      </c>
      <c r="E33" s="90" t="s">
        <v>126</v>
      </c>
      <c r="G33" s="63" t="s">
        <v>66</v>
      </c>
      <c r="H33" s="91">
        <v>89.2</v>
      </c>
      <c r="I33" s="80">
        <v>1910.79</v>
      </c>
      <c r="J33" s="65">
        <f>I33/H33</f>
        <v>21.421412556053809</v>
      </c>
      <c r="K33" s="90" t="s">
        <v>127</v>
      </c>
      <c r="M33" s="63" t="s">
        <v>66</v>
      </c>
      <c r="N33" s="33">
        <v>142.893</v>
      </c>
      <c r="O33" s="80">
        <v>12726.365000000002</v>
      </c>
      <c r="P33" s="65">
        <f t="shared" si="3"/>
        <v>89.062200387702703</v>
      </c>
      <c r="Q33" s="90" t="s">
        <v>66</v>
      </c>
    </row>
    <row r="34" spans="1:17" ht="16.350000000000001" customHeight="1" x14ac:dyDescent="0.2">
      <c r="A34" s="63" t="s">
        <v>56</v>
      </c>
      <c r="B34" s="64">
        <v>4.4000000000000004</v>
      </c>
      <c r="C34" s="80">
        <v>1424.37</v>
      </c>
      <c r="D34" s="84">
        <f>C34/B34</f>
        <v>323.72045454545452</v>
      </c>
      <c r="E34" s="90" t="s">
        <v>170</v>
      </c>
      <c r="G34" s="63" t="s">
        <v>56</v>
      </c>
      <c r="H34" s="91">
        <v>48.7</v>
      </c>
      <c r="I34" s="80">
        <v>1704.51</v>
      </c>
      <c r="J34" s="65">
        <f>I34/H34</f>
        <v>35.000205338809032</v>
      </c>
      <c r="K34" s="90" t="s">
        <v>173</v>
      </c>
      <c r="M34" s="63" t="s">
        <v>56</v>
      </c>
      <c r="N34" s="33">
        <v>102.59099999999999</v>
      </c>
      <c r="O34" s="80">
        <v>10935.76</v>
      </c>
      <c r="P34" s="65">
        <f t="shared" si="3"/>
        <v>106.5957052762913</v>
      </c>
      <c r="Q34" s="90" t="s">
        <v>56</v>
      </c>
    </row>
    <row r="35" spans="1:17" ht="16.350000000000001" customHeight="1" x14ac:dyDescent="0.2">
      <c r="A35" s="102" t="s">
        <v>59</v>
      </c>
      <c r="B35" s="24">
        <v>16.100000000000001</v>
      </c>
      <c r="C35" s="131">
        <v>835.18</v>
      </c>
      <c r="D35" s="71">
        <f t="shared" si="4"/>
        <v>51.874534161490672</v>
      </c>
      <c r="E35" s="95" t="s">
        <v>148</v>
      </c>
      <c r="G35" s="102" t="s">
        <v>59</v>
      </c>
      <c r="H35" s="130">
        <v>58.9</v>
      </c>
      <c r="I35" s="70">
        <v>1602.33</v>
      </c>
      <c r="J35" s="104">
        <f>I35/H35</f>
        <v>27.204244482173173</v>
      </c>
      <c r="K35" s="95" t="s">
        <v>149</v>
      </c>
      <c r="M35" s="102" t="s">
        <v>59</v>
      </c>
      <c r="N35" s="129">
        <v>108.4</v>
      </c>
      <c r="O35" s="70">
        <v>9834.6</v>
      </c>
      <c r="P35" s="104">
        <f t="shared" si="3"/>
        <v>90.725092250922515</v>
      </c>
      <c r="Q35" s="95" t="s">
        <v>59</v>
      </c>
    </row>
    <row r="36" spans="1:17" ht="16.350000000000001" customHeight="1" x14ac:dyDescent="0.2">
      <c r="A36" s="63" t="s">
        <v>30</v>
      </c>
      <c r="B36" s="65">
        <f>SUM(B24:B35)</f>
        <v>543.98705234159775</v>
      </c>
      <c r="C36" s="65">
        <f>SUM(C24:C35)</f>
        <v>36257.54</v>
      </c>
      <c r="D36" s="84">
        <f>SUM(C24:C35)/SUM(B24:B35)</f>
        <v>66.651476067176702</v>
      </c>
      <c r="E36" s="32"/>
      <c r="G36" s="63" t="s">
        <v>30</v>
      </c>
      <c r="H36" s="65">
        <f>SUM(H24:H35)</f>
        <v>783.7</v>
      </c>
      <c r="I36" s="65">
        <f>SUM(I24:I35)</f>
        <v>18559.97</v>
      </c>
      <c r="J36" s="65">
        <f>SUM(I24:I35)/SUM(H24:H35)</f>
        <v>23.682493301008037</v>
      </c>
      <c r="K36" s="32"/>
      <c r="M36" s="63" t="s">
        <v>30</v>
      </c>
      <c r="N36" s="65">
        <f>+SUM(N24:N35)</f>
        <v>1347.0439999999999</v>
      </c>
      <c r="O36" s="65">
        <f>+SUM(O24:O35)</f>
        <v>125647.89500000002</v>
      </c>
      <c r="P36" s="65">
        <f>O36/N36</f>
        <v>93.276756364305868</v>
      </c>
      <c r="Q36" s="98"/>
    </row>
    <row r="39" spans="1:17" ht="16.350000000000001" customHeight="1" x14ac:dyDescent="0.25">
      <c r="A39" s="28"/>
      <c r="B39" s="81"/>
      <c r="C39" s="77">
        <v>2000</v>
      </c>
      <c r="D39" s="87"/>
      <c r="E39" s="86"/>
      <c r="G39" s="28"/>
      <c r="H39" s="81"/>
      <c r="I39" s="77">
        <v>2000</v>
      </c>
      <c r="J39" s="28"/>
      <c r="K39" s="47"/>
      <c r="O39" s="31">
        <v>2000</v>
      </c>
      <c r="P39" s="96"/>
      <c r="Q39" s="47"/>
    </row>
    <row r="40" spans="1:17" ht="16.350000000000001" customHeight="1" x14ac:dyDescent="0.2">
      <c r="A40" s="92"/>
      <c r="B40" s="23" t="s">
        <v>850</v>
      </c>
      <c r="C40" s="23" t="s">
        <v>848</v>
      </c>
      <c r="D40" s="688" t="s">
        <v>106</v>
      </c>
      <c r="E40" s="100"/>
      <c r="G40" s="92"/>
      <c r="H40" s="23" t="s">
        <v>850</v>
      </c>
      <c r="I40" s="23" t="s">
        <v>848</v>
      </c>
      <c r="J40" s="23" t="s">
        <v>106</v>
      </c>
      <c r="K40" s="94"/>
      <c r="M40" s="92"/>
      <c r="N40" s="23" t="s">
        <v>850</v>
      </c>
      <c r="O40" s="23" t="s">
        <v>848</v>
      </c>
      <c r="P40" s="23" t="s">
        <v>106</v>
      </c>
      <c r="Q40" s="16"/>
    </row>
    <row r="41" spans="1:17" ht="16.350000000000001" customHeight="1" x14ac:dyDescent="0.2">
      <c r="A41" s="32" t="s">
        <v>54</v>
      </c>
      <c r="B41" s="82">
        <v>10.8</v>
      </c>
      <c r="C41" s="135">
        <v>1711.6</v>
      </c>
      <c r="D41" s="84">
        <f t="shared" ref="D41:D52" si="5">C41/B41</f>
        <v>158.48148148148147</v>
      </c>
      <c r="E41" s="90" t="s">
        <v>147</v>
      </c>
      <c r="G41" s="32" t="s">
        <v>54</v>
      </c>
      <c r="H41" s="118">
        <v>40.299999999999997</v>
      </c>
      <c r="I41" s="64">
        <v>1582.02</v>
      </c>
      <c r="J41" s="65">
        <f>I41/H41</f>
        <v>39.256079404466504</v>
      </c>
      <c r="K41" s="90" t="s">
        <v>150</v>
      </c>
      <c r="M41" s="32" t="s">
        <v>54</v>
      </c>
      <c r="N41" s="112">
        <v>90.82</v>
      </c>
      <c r="O41" s="64">
        <v>8721.24</v>
      </c>
      <c r="P41" s="84">
        <f t="shared" ref="P41:P52" si="6">O41/N41</f>
        <v>96.027747192248412</v>
      </c>
      <c r="Q41" s="90" t="s">
        <v>226</v>
      </c>
    </row>
    <row r="42" spans="1:17" ht="16.350000000000001" customHeight="1" x14ac:dyDescent="0.2">
      <c r="A42" s="32" t="s">
        <v>55</v>
      </c>
      <c r="B42" s="82">
        <v>5.5</v>
      </c>
      <c r="C42" s="80">
        <v>908.3</v>
      </c>
      <c r="D42" s="84">
        <f t="shared" si="5"/>
        <v>165.14545454545453</v>
      </c>
      <c r="E42" s="90" t="s">
        <v>174</v>
      </c>
      <c r="G42" s="32" t="s">
        <v>55</v>
      </c>
      <c r="H42" s="118">
        <v>25.1</v>
      </c>
      <c r="I42" s="80">
        <v>1041.19</v>
      </c>
      <c r="J42" s="88">
        <f t="shared" ref="J42:J49" si="7">I42/H42</f>
        <v>41.481673306772905</v>
      </c>
      <c r="K42" s="89" t="s">
        <v>175</v>
      </c>
      <c r="M42" s="32" t="s">
        <v>55</v>
      </c>
      <c r="N42" s="112">
        <v>48.103000000000002</v>
      </c>
      <c r="O42" s="64">
        <v>3711.39</v>
      </c>
      <c r="P42" s="84">
        <f t="shared" si="6"/>
        <v>77.155063093777926</v>
      </c>
      <c r="Q42" s="90" t="s">
        <v>227</v>
      </c>
    </row>
    <row r="43" spans="1:17" ht="16.350000000000001" customHeight="1" x14ac:dyDescent="0.2">
      <c r="A43" s="32" t="s">
        <v>58</v>
      </c>
      <c r="B43" s="82">
        <v>0.9</v>
      </c>
      <c r="C43" s="83">
        <v>544.15</v>
      </c>
      <c r="D43" s="84">
        <f t="shared" si="5"/>
        <v>604.61111111111109</v>
      </c>
      <c r="E43" s="90" t="s">
        <v>177</v>
      </c>
      <c r="G43" s="32" t="s">
        <v>58</v>
      </c>
      <c r="H43" s="118">
        <v>38.9</v>
      </c>
      <c r="I43" s="80">
        <v>843.51</v>
      </c>
      <c r="J43" s="88">
        <f t="shared" si="7"/>
        <v>21.684061696658098</v>
      </c>
      <c r="K43" s="90" t="s">
        <v>178</v>
      </c>
      <c r="M43" s="32" t="s">
        <v>58</v>
      </c>
      <c r="N43" s="112">
        <v>73.48</v>
      </c>
      <c r="O43" s="64">
        <v>9689.6200000000008</v>
      </c>
      <c r="P43" s="84">
        <f t="shared" si="6"/>
        <v>131.86744692433317</v>
      </c>
      <c r="Q43" s="90" t="s">
        <v>225</v>
      </c>
    </row>
    <row r="44" spans="1:17" ht="16.350000000000001" customHeight="1" x14ac:dyDescent="0.2">
      <c r="A44" s="32" t="s">
        <v>61</v>
      </c>
      <c r="B44" s="82">
        <v>77</v>
      </c>
      <c r="C44" s="83">
        <v>1532.83</v>
      </c>
      <c r="D44" s="84">
        <f t="shared" si="5"/>
        <v>19.906883116883115</v>
      </c>
      <c r="E44" s="90" t="s">
        <v>182</v>
      </c>
      <c r="G44" s="32" t="s">
        <v>61</v>
      </c>
      <c r="H44" s="118">
        <v>62.5</v>
      </c>
      <c r="I44" s="80">
        <v>1347.7</v>
      </c>
      <c r="J44" s="88">
        <f t="shared" si="7"/>
        <v>21.563200000000002</v>
      </c>
      <c r="K44" s="90" t="s">
        <v>183</v>
      </c>
      <c r="M44" s="32" t="s">
        <v>61</v>
      </c>
      <c r="N44" s="112">
        <v>106.04</v>
      </c>
      <c r="O44" s="64">
        <v>8192.9599999999991</v>
      </c>
      <c r="P44" s="84">
        <f t="shared" si="6"/>
        <v>77.262919652961131</v>
      </c>
      <c r="Q44" s="90" t="s">
        <v>228</v>
      </c>
    </row>
    <row r="45" spans="1:17" ht="16.350000000000001" customHeight="1" x14ac:dyDescent="0.2">
      <c r="A45" s="32" t="s">
        <v>63</v>
      </c>
      <c r="B45" s="82">
        <v>134.5</v>
      </c>
      <c r="C45" s="83">
        <v>2885.53</v>
      </c>
      <c r="D45" s="84">
        <f t="shared" si="5"/>
        <v>21.453754646840149</v>
      </c>
      <c r="E45" s="90" t="s">
        <v>187</v>
      </c>
      <c r="G45" s="32" t="s">
        <v>63</v>
      </c>
      <c r="H45" s="82">
        <v>74.62</v>
      </c>
      <c r="I45" s="83">
        <v>1438.88</v>
      </c>
      <c r="J45" s="88">
        <f t="shared" si="7"/>
        <v>19.282766014473331</v>
      </c>
      <c r="K45" s="90" t="s">
        <v>188</v>
      </c>
      <c r="M45" s="32" t="s">
        <v>63</v>
      </c>
      <c r="N45" s="112">
        <v>131.58000000000001</v>
      </c>
      <c r="O45" s="64">
        <v>7516.09</v>
      </c>
      <c r="P45" s="84">
        <f t="shared" si="6"/>
        <v>57.121827025383794</v>
      </c>
      <c r="Q45" s="90" t="s">
        <v>224</v>
      </c>
    </row>
    <row r="46" spans="1:17" ht="16.350000000000001" customHeight="1" x14ac:dyDescent="0.2">
      <c r="A46" s="32" t="s">
        <v>65</v>
      </c>
      <c r="B46" s="82">
        <v>174.72</v>
      </c>
      <c r="C46" s="83">
        <v>5667.96</v>
      </c>
      <c r="D46" s="84">
        <f t="shared" si="5"/>
        <v>32.440247252747255</v>
      </c>
      <c r="E46" s="90" t="s">
        <v>191</v>
      </c>
      <c r="G46" s="32" t="s">
        <v>65</v>
      </c>
      <c r="H46" s="82">
        <v>99.04</v>
      </c>
      <c r="I46" s="83">
        <v>2638.8</v>
      </c>
      <c r="J46" s="88">
        <f t="shared" si="7"/>
        <v>26.6437802907916</v>
      </c>
      <c r="K46" s="90" t="s">
        <v>192</v>
      </c>
      <c r="M46" s="32" t="s">
        <v>65</v>
      </c>
      <c r="N46" s="112">
        <v>155.26599999999999</v>
      </c>
      <c r="O46" s="64">
        <v>13039.65</v>
      </c>
      <c r="P46" s="84">
        <f t="shared" si="6"/>
        <v>83.982649131168444</v>
      </c>
      <c r="Q46" s="90" t="s">
        <v>229</v>
      </c>
    </row>
    <row r="47" spans="1:17" ht="16.350000000000001" customHeight="1" x14ac:dyDescent="0.2">
      <c r="A47" s="32" t="s">
        <v>67</v>
      </c>
      <c r="B47" s="82">
        <v>147.9</v>
      </c>
      <c r="C47" s="83">
        <v>8743.6299999999992</v>
      </c>
      <c r="D47" s="84">
        <f t="shared" si="5"/>
        <v>59.118526031102085</v>
      </c>
      <c r="E47" s="90" t="s">
        <v>194</v>
      </c>
      <c r="G47" s="32" t="s">
        <v>67</v>
      </c>
      <c r="H47" s="82">
        <v>125.5</v>
      </c>
      <c r="I47" s="83">
        <v>8224.06</v>
      </c>
      <c r="J47" s="88">
        <f t="shared" si="7"/>
        <v>65.530358565737046</v>
      </c>
      <c r="K47" s="90" t="s">
        <v>195</v>
      </c>
      <c r="M47" s="32" t="s">
        <v>67</v>
      </c>
      <c r="N47" s="112">
        <v>166.92099999999999</v>
      </c>
      <c r="O47" s="64">
        <v>18697.39</v>
      </c>
      <c r="P47" s="84">
        <f t="shared" si="6"/>
        <v>112.01340754009382</v>
      </c>
      <c r="Q47" s="90" t="s">
        <v>219</v>
      </c>
    </row>
    <row r="48" spans="1:17" ht="16.350000000000001" customHeight="1" x14ac:dyDescent="0.2">
      <c r="A48" s="32" t="s">
        <v>62</v>
      </c>
      <c r="B48" s="82">
        <v>160.86000000000001</v>
      </c>
      <c r="C48" s="83">
        <v>8760.66</v>
      </c>
      <c r="D48" s="84">
        <f t="shared" si="5"/>
        <v>54.461395001864972</v>
      </c>
      <c r="E48" s="90" t="s">
        <v>197</v>
      </c>
      <c r="G48" s="32" t="s">
        <v>62</v>
      </c>
      <c r="H48" s="82">
        <v>129.9</v>
      </c>
      <c r="I48" s="83">
        <v>8351.92</v>
      </c>
      <c r="J48" s="88">
        <f t="shared" si="7"/>
        <v>64.294996150885297</v>
      </c>
      <c r="K48" s="90" t="s">
        <v>198</v>
      </c>
      <c r="M48" s="32" t="s">
        <v>62</v>
      </c>
      <c r="N48" s="112">
        <v>187.09</v>
      </c>
      <c r="O48" s="64">
        <v>15189.96</v>
      </c>
      <c r="P48" s="84">
        <f t="shared" si="6"/>
        <v>81.190656903094762</v>
      </c>
      <c r="Q48" s="90" t="s">
        <v>218</v>
      </c>
    </row>
    <row r="49" spans="1:17" ht="16.350000000000001" customHeight="1" x14ac:dyDescent="0.2">
      <c r="A49" s="32" t="s">
        <v>64</v>
      </c>
      <c r="B49" s="82">
        <v>146</v>
      </c>
      <c r="C49" s="83">
        <v>9431.82</v>
      </c>
      <c r="D49" s="84">
        <f t="shared" si="5"/>
        <v>64.601506849315072</v>
      </c>
      <c r="E49" s="90" t="s">
        <v>202</v>
      </c>
      <c r="G49" s="32" t="s">
        <v>64</v>
      </c>
      <c r="H49" s="82">
        <v>91.4</v>
      </c>
      <c r="I49" s="83">
        <v>10045.59</v>
      </c>
      <c r="J49" s="88">
        <f t="shared" si="7"/>
        <v>109.90798687089715</v>
      </c>
      <c r="K49" s="90" t="s">
        <v>201</v>
      </c>
      <c r="M49" s="32" t="s">
        <v>64</v>
      </c>
      <c r="N49" s="112">
        <v>154.63999999999999</v>
      </c>
      <c r="O49" s="64">
        <v>13896.85</v>
      </c>
      <c r="P49" s="84">
        <f t="shared" si="6"/>
        <v>89.865817382307299</v>
      </c>
      <c r="Q49" s="90" t="s">
        <v>223</v>
      </c>
    </row>
    <row r="50" spans="1:17" ht="16.350000000000001" customHeight="1" x14ac:dyDescent="0.2">
      <c r="A50" s="32" t="s">
        <v>66</v>
      </c>
      <c r="B50" s="82">
        <v>111.02</v>
      </c>
      <c r="C50" s="83">
        <v>7296.14</v>
      </c>
      <c r="D50" s="84">
        <f t="shared" si="5"/>
        <v>65.719149702756269</v>
      </c>
      <c r="E50" s="90" t="s">
        <v>207</v>
      </c>
      <c r="G50" s="32" t="s">
        <v>66</v>
      </c>
      <c r="H50" s="82">
        <v>84</v>
      </c>
      <c r="I50" s="83">
        <v>2335.41</v>
      </c>
      <c r="J50" s="88">
        <f>I50/H50</f>
        <v>27.802499999999998</v>
      </c>
      <c r="K50" s="90" t="s">
        <v>208</v>
      </c>
      <c r="M50" s="32" t="s">
        <v>66</v>
      </c>
      <c r="N50" s="112">
        <v>119.306</v>
      </c>
      <c r="O50" s="64">
        <v>10979.28</v>
      </c>
      <c r="P50" s="84">
        <f t="shared" si="6"/>
        <v>92.026218295810779</v>
      </c>
      <c r="Q50" s="90" t="s">
        <v>230</v>
      </c>
    </row>
    <row r="51" spans="1:17" ht="16.350000000000001" customHeight="1" x14ac:dyDescent="0.2">
      <c r="A51" s="32" t="s">
        <v>56</v>
      </c>
      <c r="B51" s="82">
        <v>115.1</v>
      </c>
      <c r="C51" s="83">
        <v>3555.19</v>
      </c>
      <c r="D51" s="84">
        <f t="shared" si="5"/>
        <v>30.887836663770635</v>
      </c>
      <c r="E51" s="90" t="s">
        <v>221</v>
      </c>
      <c r="G51" s="32" t="s">
        <v>56</v>
      </c>
      <c r="H51" s="82">
        <v>63</v>
      </c>
      <c r="I51" s="83">
        <v>1909.22</v>
      </c>
      <c r="J51" s="88">
        <f>I51/H51</f>
        <v>30.305079365079365</v>
      </c>
      <c r="K51" s="90" t="s">
        <v>222</v>
      </c>
      <c r="M51" s="32" t="s">
        <v>56</v>
      </c>
      <c r="N51" s="112">
        <v>106.5</v>
      </c>
      <c r="O51" s="64">
        <v>10568.23</v>
      </c>
      <c r="P51" s="84">
        <f t="shared" si="6"/>
        <v>99.232206572769954</v>
      </c>
      <c r="Q51" s="90" t="s">
        <v>217</v>
      </c>
    </row>
    <row r="52" spans="1:17" ht="16.350000000000001" customHeight="1" x14ac:dyDescent="0.2">
      <c r="A52" s="52" t="s">
        <v>59</v>
      </c>
      <c r="B52" s="73">
        <v>95.81</v>
      </c>
      <c r="C52" s="70">
        <v>3598.47</v>
      </c>
      <c r="D52" s="71">
        <f t="shared" si="5"/>
        <v>37.558396827053542</v>
      </c>
      <c r="E52" s="95" t="s">
        <v>233</v>
      </c>
      <c r="G52" s="52" t="s">
        <v>59</v>
      </c>
      <c r="H52" s="73">
        <v>58.9</v>
      </c>
      <c r="I52" s="70">
        <v>1902.41</v>
      </c>
      <c r="J52" s="72">
        <f>I52/H52</f>
        <v>32.298981324278444</v>
      </c>
      <c r="K52" s="95" t="s">
        <v>232</v>
      </c>
      <c r="M52" s="32" t="s">
        <v>59</v>
      </c>
      <c r="N52" s="113">
        <v>115.066</v>
      </c>
      <c r="O52" s="24">
        <v>11085.66</v>
      </c>
      <c r="P52" s="71">
        <f t="shared" si="6"/>
        <v>96.341751690334235</v>
      </c>
      <c r="Q52" s="95" t="s">
        <v>231</v>
      </c>
    </row>
    <row r="53" spans="1:17" ht="16.350000000000001" customHeight="1" x14ac:dyDescent="0.35">
      <c r="A53" s="32" t="s">
        <v>30</v>
      </c>
      <c r="B53" s="85">
        <f>SUM(B41:B52)</f>
        <v>1180.1099999999999</v>
      </c>
      <c r="C53" s="65">
        <f>SUM(C41:C52)</f>
        <v>54636.28</v>
      </c>
      <c r="D53" s="84">
        <f>C53/SUM(B41:B52)</f>
        <v>46.297616323902012</v>
      </c>
      <c r="E53" s="140"/>
      <c r="G53" s="32" t="s">
        <v>30</v>
      </c>
      <c r="H53" s="85">
        <f>SUM(H41:H52)</f>
        <v>893.16</v>
      </c>
      <c r="I53" s="65">
        <f>SUM(I41:I52)</f>
        <v>41660.710000000006</v>
      </c>
      <c r="J53" s="65">
        <f>I53/H53</f>
        <v>46.644173496350049</v>
      </c>
      <c r="K53" s="140"/>
      <c r="M53" s="32" t="s">
        <v>30</v>
      </c>
      <c r="N53" s="85">
        <f>+SUM(N41:N52)</f>
        <v>1454.8120000000001</v>
      </c>
      <c r="O53" s="65">
        <f>+SUM(O41:O52)</f>
        <v>131288.31999999998</v>
      </c>
      <c r="P53" s="84">
        <f>O53/N53</f>
        <v>90.244182753510401</v>
      </c>
    </row>
    <row r="54" spans="1:17" ht="16.350000000000001" customHeight="1" x14ac:dyDescent="0.25">
      <c r="C54" s="68"/>
      <c r="E54" s="47"/>
    </row>
    <row r="56" spans="1:17" ht="16.350000000000001" customHeight="1" x14ac:dyDescent="0.25">
      <c r="A56" s="59"/>
      <c r="B56" s="81"/>
      <c r="C56" s="77">
        <v>2001</v>
      </c>
      <c r="D56" s="87"/>
      <c r="E56" s="86"/>
      <c r="G56" s="59"/>
      <c r="H56" s="81"/>
      <c r="I56" s="77">
        <v>2001</v>
      </c>
      <c r="J56" s="28"/>
      <c r="K56" s="86"/>
      <c r="M56" s="59"/>
      <c r="N56" s="81"/>
      <c r="O56" s="77">
        <v>2001</v>
      </c>
      <c r="P56" s="28"/>
      <c r="Q56" s="86"/>
    </row>
    <row r="57" spans="1:17" ht="16.350000000000001" customHeight="1" x14ac:dyDescent="0.2">
      <c r="A57" s="101"/>
      <c r="B57" s="23" t="s">
        <v>850</v>
      </c>
      <c r="C57" s="23" t="s">
        <v>848</v>
      </c>
      <c r="D57" s="688" t="s">
        <v>106</v>
      </c>
      <c r="E57" s="100"/>
      <c r="G57" s="120"/>
      <c r="H57" s="23" t="s">
        <v>850</v>
      </c>
      <c r="I57" s="23" t="s">
        <v>848</v>
      </c>
      <c r="J57" s="23" t="s">
        <v>106</v>
      </c>
      <c r="K57" s="100"/>
      <c r="M57" s="101"/>
      <c r="N57" s="23" t="s">
        <v>850</v>
      </c>
      <c r="O57" s="23" t="s">
        <v>848</v>
      </c>
      <c r="P57" s="23" t="s">
        <v>106</v>
      </c>
      <c r="Q57" s="100"/>
    </row>
    <row r="58" spans="1:17" ht="16.350000000000001" customHeight="1" x14ac:dyDescent="0.2">
      <c r="A58" s="63" t="s">
        <v>54</v>
      </c>
      <c r="B58" s="87">
        <v>38.1</v>
      </c>
      <c r="C58" s="80">
        <v>3670.36</v>
      </c>
      <c r="D58" s="88">
        <f t="shared" ref="D58:D69" si="8">C58/B58</f>
        <v>96.334908136482937</v>
      </c>
      <c r="E58" s="90" t="s">
        <v>238</v>
      </c>
      <c r="G58" s="63" t="s">
        <v>54</v>
      </c>
      <c r="H58" s="82">
        <v>42.8</v>
      </c>
      <c r="I58" s="80">
        <v>1667</v>
      </c>
      <c r="J58" s="88">
        <f>I58/H58</f>
        <v>38.948598130841127</v>
      </c>
      <c r="K58" s="90" t="s">
        <v>238</v>
      </c>
      <c r="M58" s="63" t="s">
        <v>54</v>
      </c>
      <c r="N58" s="114">
        <v>84.59</v>
      </c>
      <c r="O58" s="80">
        <v>10327.07</v>
      </c>
      <c r="P58" s="88">
        <f t="shared" ref="P58:P69" si="9">O58/N58</f>
        <v>122.08381605390707</v>
      </c>
      <c r="Q58" s="90" t="s">
        <v>366</v>
      </c>
    </row>
    <row r="59" spans="1:17" ht="16.350000000000001" customHeight="1" x14ac:dyDescent="0.2">
      <c r="A59" s="63" t="s">
        <v>55</v>
      </c>
      <c r="B59" s="87">
        <v>23.9</v>
      </c>
      <c r="C59" s="83">
        <v>1948.11</v>
      </c>
      <c r="D59" s="88">
        <f t="shared" si="8"/>
        <v>81.510878661087872</v>
      </c>
      <c r="E59" s="90" t="s">
        <v>241</v>
      </c>
      <c r="G59" s="63" t="s">
        <v>55</v>
      </c>
      <c r="H59" s="82">
        <v>25</v>
      </c>
      <c r="I59" s="83">
        <v>1237.1600000000001</v>
      </c>
      <c r="J59" s="84">
        <f>I59/H59</f>
        <v>49.486400000000003</v>
      </c>
      <c r="K59" s="90" t="s">
        <v>242</v>
      </c>
      <c r="M59" s="63" t="s">
        <v>55</v>
      </c>
      <c r="N59" s="114">
        <v>56.5</v>
      </c>
      <c r="O59" s="80">
        <v>7887.48</v>
      </c>
      <c r="P59" s="88">
        <f t="shared" si="9"/>
        <v>139.60141592920354</v>
      </c>
      <c r="Q59" s="90" t="s">
        <v>274</v>
      </c>
    </row>
    <row r="60" spans="1:17" ht="16.350000000000001" customHeight="1" x14ac:dyDescent="0.2">
      <c r="A60" s="63" t="s">
        <v>58</v>
      </c>
      <c r="B60" s="87">
        <v>3.9</v>
      </c>
      <c r="C60" s="80">
        <v>913.18</v>
      </c>
      <c r="D60" s="88">
        <f t="shared" si="8"/>
        <v>234.14871794871794</v>
      </c>
      <c r="E60" s="90" t="s">
        <v>269</v>
      </c>
      <c r="G60" s="63" t="s">
        <v>58</v>
      </c>
      <c r="H60" s="114">
        <v>35.299999999999997</v>
      </c>
      <c r="I60" s="80">
        <v>1156.8900000000001</v>
      </c>
      <c r="J60" s="84">
        <f t="shared" ref="J60:J69" si="10">I60/H60</f>
        <v>32.773087818696887</v>
      </c>
      <c r="K60" s="90" t="s">
        <v>270</v>
      </c>
      <c r="M60" s="63" t="s">
        <v>58</v>
      </c>
      <c r="N60" s="114">
        <v>70</v>
      </c>
      <c r="O60" s="80">
        <v>8659.85</v>
      </c>
      <c r="P60" s="88">
        <f t="shared" si="9"/>
        <v>123.71214285714287</v>
      </c>
      <c r="Q60" s="132" t="s">
        <v>275</v>
      </c>
    </row>
    <row r="61" spans="1:17" ht="16.350000000000001" customHeight="1" x14ac:dyDescent="0.2">
      <c r="A61" s="63" t="s">
        <v>61</v>
      </c>
      <c r="B61" s="114">
        <v>74.94</v>
      </c>
      <c r="C61" s="83">
        <v>2000.46</v>
      </c>
      <c r="D61" s="88">
        <f t="shared" si="8"/>
        <v>26.694155324259409</v>
      </c>
      <c r="E61" s="90" t="s">
        <v>272</v>
      </c>
      <c r="G61" s="63" t="s">
        <v>61</v>
      </c>
      <c r="H61" s="114">
        <v>66.400000000000006</v>
      </c>
      <c r="I61" s="83">
        <v>1902.71</v>
      </c>
      <c r="J61" s="84">
        <f t="shared" si="10"/>
        <v>28.655271084337347</v>
      </c>
      <c r="K61" s="90" t="s">
        <v>273</v>
      </c>
      <c r="M61" s="63" t="s">
        <v>61</v>
      </c>
      <c r="N61" s="114">
        <v>99.08</v>
      </c>
      <c r="O61" s="80">
        <v>10482.5</v>
      </c>
      <c r="P61" s="88">
        <f t="shared" si="9"/>
        <v>105.7983447719015</v>
      </c>
      <c r="Q61" s="90" t="s">
        <v>277</v>
      </c>
    </row>
    <row r="62" spans="1:17" ht="16.350000000000001" customHeight="1" x14ac:dyDescent="0.2">
      <c r="A62" s="63" t="s">
        <v>63</v>
      </c>
      <c r="B62" s="114">
        <v>35.700000000000003</v>
      </c>
      <c r="C62" s="83">
        <v>2943.48</v>
      </c>
      <c r="D62" s="88">
        <f t="shared" si="8"/>
        <v>82.450420168067225</v>
      </c>
      <c r="E62" s="90" t="s">
        <v>278</v>
      </c>
      <c r="G62" s="63" t="s">
        <v>63</v>
      </c>
      <c r="H62" s="114">
        <v>88.2</v>
      </c>
      <c r="I62" s="83">
        <v>2101.16</v>
      </c>
      <c r="J62" s="84">
        <f t="shared" si="10"/>
        <v>23.82267573696145</v>
      </c>
      <c r="K62" s="90" t="s">
        <v>278</v>
      </c>
      <c r="M62" s="63" t="s">
        <v>63</v>
      </c>
      <c r="N62" s="114">
        <v>134.81</v>
      </c>
      <c r="O62" s="80">
        <v>13339.52</v>
      </c>
      <c r="P62" s="88">
        <f t="shared" si="9"/>
        <v>98.950522958237528</v>
      </c>
      <c r="Q62" s="90" t="s">
        <v>280</v>
      </c>
    </row>
    <row r="63" spans="1:17" ht="16.350000000000001" customHeight="1" x14ac:dyDescent="0.2">
      <c r="A63" s="63" t="s">
        <v>65</v>
      </c>
      <c r="B63" s="114">
        <v>56.4</v>
      </c>
      <c r="C63" s="83">
        <v>2462.79</v>
      </c>
      <c r="D63" s="88">
        <f t="shared" si="8"/>
        <v>43.666489361702126</v>
      </c>
      <c r="E63" s="90" t="s">
        <v>286</v>
      </c>
      <c r="G63" s="63" t="s">
        <v>65</v>
      </c>
      <c r="H63" s="114">
        <v>136.6</v>
      </c>
      <c r="I63" s="83">
        <v>3159.1</v>
      </c>
      <c r="J63" s="84">
        <f t="shared" si="10"/>
        <v>23.126647144948755</v>
      </c>
      <c r="K63" s="90" t="s">
        <v>286</v>
      </c>
      <c r="M63" s="63" t="s">
        <v>65</v>
      </c>
      <c r="N63" s="114">
        <v>152.54</v>
      </c>
      <c r="O63" s="80">
        <v>20383.419999999998</v>
      </c>
      <c r="P63" s="88">
        <f t="shared" si="9"/>
        <v>133.62672086010227</v>
      </c>
      <c r="Q63" s="90" t="s">
        <v>281</v>
      </c>
    </row>
    <row r="64" spans="1:17" ht="16.350000000000001" customHeight="1" x14ac:dyDescent="0.2">
      <c r="A64" s="63" t="s">
        <v>67</v>
      </c>
      <c r="B64" s="114">
        <v>73.44</v>
      </c>
      <c r="C64" s="83">
        <v>5480.57</v>
      </c>
      <c r="D64" s="88">
        <f t="shared" si="8"/>
        <v>74.626497821350767</v>
      </c>
      <c r="E64" s="90" t="s">
        <v>283</v>
      </c>
      <c r="G64" s="63" t="s">
        <v>67</v>
      </c>
      <c r="H64" s="114">
        <v>157.69999999999999</v>
      </c>
      <c r="I64" s="83">
        <v>4816.9799999999996</v>
      </c>
      <c r="J64" s="84">
        <f t="shared" si="10"/>
        <v>30.545212428662015</v>
      </c>
      <c r="K64" s="90" t="s">
        <v>283</v>
      </c>
      <c r="M64" s="63" t="s">
        <v>67</v>
      </c>
      <c r="N64" s="114">
        <v>164.3</v>
      </c>
      <c r="O64" s="80">
        <v>19429.580000000002</v>
      </c>
      <c r="P64" s="88">
        <f t="shared" si="9"/>
        <v>118.25672550213025</v>
      </c>
      <c r="Q64" s="90" t="s">
        <v>285</v>
      </c>
    </row>
    <row r="65" spans="1:17" ht="16.350000000000001" customHeight="1" x14ac:dyDescent="0.2">
      <c r="A65" s="63" t="s">
        <v>62</v>
      </c>
      <c r="B65" s="114">
        <v>72</v>
      </c>
      <c r="C65" s="83">
        <v>4897.22</v>
      </c>
      <c r="D65" s="88">
        <f t="shared" si="8"/>
        <v>68.016944444444448</v>
      </c>
      <c r="E65" s="90" t="s">
        <v>287</v>
      </c>
      <c r="G65" s="63" t="s">
        <v>62</v>
      </c>
      <c r="H65" s="114">
        <v>139.80000000000001</v>
      </c>
      <c r="I65" s="83">
        <v>4358.71</v>
      </c>
      <c r="J65" s="84">
        <f t="shared" si="10"/>
        <v>31.178183118741057</v>
      </c>
      <c r="K65" s="90" t="s">
        <v>287</v>
      </c>
      <c r="M65" s="63" t="s">
        <v>62</v>
      </c>
      <c r="N65" s="114">
        <v>173</v>
      </c>
      <c r="O65" s="80">
        <v>22719.23</v>
      </c>
      <c r="P65" s="88">
        <f t="shared" si="9"/>
        <v>131.3250289017341</v>
      </c>
      <c r="Q65" s="90" t="s">
        <v>312</v>
      </c>
    </row>
    <row r="66" spans="1:17" ht="16.350000000000001" customHeight="1" x14ac:dyDescent="0.2">
      <c r="A66" s="63" t="s">
        <v>64</v>
      </c>
      <c r="B66" s="114">
        <v>171.4</v>
      </c>
      <c r="C66" s="83">
        <v>5174.1499999999996</v>
      </c>
      <c r="D66" s="88">
        <f t="shared" si="8"/>
        <v>30.187572928821467</v>
      </c>
      <c r="E66" s="90" t="s">
        <v>289</v>
      </c>
      <c r="G66" s="63" t="s">
        <v>64</v>
      </c>
      <c r="H66" s="114">
        <v>120.5</v>
      </c>
      <c r="I66" s="83">
        <v>4346.1899999999996</v>
      </c>
      <c r="J66" s="84">
        <f t="shared" si="10"/>
        <v>36.06796680497925</v>
      </c>
      <c r="K66" s="90" t="s">
        <v>290</v>
      </c>
      <c r="M66" s="63" t="s">
        <v>64</v>
      </c>
      <c r="N66" s="114">
        <v>155.798</v>
      </c>
      <c r="O66" s="80">
        <v>19948.669999999998</v>
      </c>
      <c r="P66" s="88">
        <f t="shared" si="9"/>
        <v>128.04188757236935</v>
      </c>
      <c r="Q66" s="90" t="s">
        <v>320</v>
      </c>
    </row>
    <row r="67" spans="1:17" ht="16.350000000000001" customHeight="1" x14ac:dyDescent="0.2">
      <c r="A67" s="63" t="s">
        <v>66</v>
      </c>
      <c r="B67" s="114">
        <v>208</v>
      </c>
      <c r="C67" s="83">
        <v>12758.74</v>
      </c>
      <c r="D67" s="88">
        <f t="shared" si="8"/>
        <v>61.340096153846154</v>
      </c>
      <c r="E67" s="90" t="s">
        <v>327</v>
      </c>
      <c r="G67" s="63" t="s">
        <v>66</v>
      </c>
      <c r="H67" s="114">
        <v>103.5</v>
      </c>
      <c r="I67" s="80">
        <v>3774.02</v>
      </c>
      <c r="J67" s="84">
        <f t="shared" si="10"/>
        <v>36.463961352657002</v>
      </c>
      <c r="K67" s="90" t="s">
        <v>328</v>
      </c>
      <c r="M67" s="63" t="s">
        <v>66</v>
      </c>
      <c r="N67" s="114">
        <v>144.38200000000001</v>
      </c>
      <c r="O67" s="80">
        <v>21419.86</v>
      </c>
      <c r="P67" s="88">
        <f t="shared" si="9"/>
        <v>148.35547367400369</v>
      </c>
      <c r="Q67" s="90" t="s">
        <v>342</v>
      </c>
    </row>
    <row r="68" spans="1:17" ht="16.350000000000001" customHeight="1" x14ac:dyDescent="0.2">
      <c r="A68" s="63" t="s">
        <v>56</v>
      </c>
      <c r="B68" s="114">
        <v>89.89</v>
      </c>
      <c r="C68" s="83">
        <v>7538.18</v>
      </c>
      <c r="D68" s="88">
        <f t="shared" si="8"/>
        <v>83.8600511736567</v>
      </c>
      <c r="E68" s="90" t="s">
        <v>343</v>
      </c>
      <c r="G68" s="63" t="s">
        <v>56</v>
      </c>
      <c r="H68" s="114">
        <v>47.5</v>
      </c>
      <c r="I68" s="83">
        <v>2882.79</v>
      </c>
      <c r="J68" s="84">
        <f t="shared" si="10"/>
        <v>60.690315789473686</v>
      </c>
      <c r="K68" s="90" t="s">
        <v>344</v>
      </c>
      <c r="M68" s="63" t="s">
        <v>56</v>
      </c>
      <c r="N68" s="114">
        <v>89.784000000000006</v>
      </c>
      <c r="O68" s="80">
        <v>14332.89</v>
      </c>
      <c r="P68" s="88">
        <f t="shared" si="9"/>
        <v>159.63746324512161</v>
      </c>
      <c r="Q68" s="90" t="s">
        <v>361</v>
      </c>
    </row>
    <row r="69" spans="1:17" ht="16.350000000000001" customHeight="1" x14ac:dyDescent="0.2">
      <c r="A69" s="102" t="s">
        <v>59</v>
      </c>
      <c r="B69" s="115">
        <v>55.5</v>
      </c>
      <c r="C69" s="131">
        <v>3764.35</v>
      </c>
      <c r="D69" s="72">
        <f t="shared" si="8"/>
        <v>67.826126126126127</v>
      </c>
      <c r="E69" s="95" t="s">
        <v>233</v>
      </c>
      <c r="G69" s="102" t="s">
        <v>59</v>
      </c>
      <c r="H69" s="115">
        <v>35.5</v>
      </c>
      <c r="I69" s="131">
        <v>1762.49</v>
      </c>
      <c r="J69" s="71">
        <f t="shared" si="10"/>
        <v>49.647605633802819</v>
      </c>
      <c r="K69" s="95" t="s">
        <v>353</v>
      </c>
      <c r="M69" s="102" t="s">
        <v>59</v>
      </c>
      <c r="N69" s="115">
        <v>83.825000000000003</v>
      </c>
      <c r="O69" s="70">
        <v>11289</v>
      </c>
      <c r="P69" s="72">
        <f t="shared" si="9"/>
        <v>134.67342678198628</v>
      </c>
      <c r="Q69" s="95" t="s">
        <v>362</v>
      </c>
    </row>
    <row r="70" spans="1:17" ht="16.350000000000001" customHeight="1" x14ac:dyDescent="0.35">
      <c r="A70" s="63" t="s">
        <v>30</v>
      </c>
      <c r="B70" s="134">
        <f>SUM(B58:B69)</f>
        <v>903.17</v>
      </c>
      <c r="C70" s="134">
        <f>SUM(C58:C69)</f>
        <v>53551.59</v>
      </c>
      <c r="D70" s="88">
        <f>C70/SUM(B58:B69)</f>
        <v>59.292923812792715</v>
      </c>
      <c r="E70" s="140"/>
      <c r="G70" s="63" t="s">
        <v>30</v>
      </c>
      <c r="H70" s="116">
        <f>SUM(H58:H69)</f>
        <v>998.8</v>
      </c>
      <c r="I70" s="84">
        <f>SUM(I58:I69)</f>
        <v>33165.199999999997</v>
      </c>
      <c r="J70" s="88">
        <f>I70/SUM(H58:H69)</f>
        <v>33.205046055266315</v>
      </c>
      <c r="K70" s="119"/>
      <c r="M70" s="63" t="s">
        <v>30</v>
      </c>
      <c r="N70" s="134">
        <f>SUM(N58:N69)</f>
        <v>1408.6090000000002</v>
      </c>
      <c r="O70" s="84">
        <f>SUM(O58:O69)</f>
        <v>180219.07</v>
      </c>
      <c r="P70" s="88">
        <f>O70/N70</f>
        <v>127.94116039298342</v>
      </c>
      <c r="Q70" s="86"/>
    </row>
    <row r="71" spans="1:17" ht="16.350000000000001" customHeight="1" x14ac:dyDescent="0.2">
      <c r="E71" s="47"/>
    </row>
    <row r="73" spans="1:17" ht="16.350000000000001" customHeight="1" x14ac:dyDescent="0.25">
      <c r="A73" s="59"/>
      <c r="B73" s="81"/>
      <c r="C73" s="77">
        <v>2002</v>
      </c>
      <c r="D73" s="87"/>
      <c r="E73" s="86"/>
      <c r="G73" s="59"/>
      <c r="H73" s="81"/>
      <c r="I73" s="77">
        <v>2002</v>
      </c>
      <c r="J73" s="28"/>
      <c r="K73" s="86"/>
      <c r="M73" s="59"/>
      <c r="N73" s="81"/>
      <c r="O73" s="77">
        <v>2002</v>
      </c>
      <c r="P73" s="28"/>
      <c r="Q73" s="86"/>
    </row>
    <row r="74" spans="1:17" ht="16.350000000000001" customHeight="1" x14ac:dyDescent="0.2">
      <c r="A74" s="101"/>
      <c r="B74" s="23" t="s">
        <v>850</v>
      </c>
      <c r="C74" s="23" t="s">
        <v>848</v>
      </c>
      <c r="D74" s="688" t="s">
        <v>106</v>
      </c>
      <c r="E74" s="100"/>
      <c r="G74" s="120"/>
      <c r="H74" s="23" t="s">
        <v>850</v>
      </c>
      <c r="I74" s="23" t="s">
        <v>848</v>
      </c>
      <c r="J74" s="23" t="s">
        <v>106</v>
      </c>
      <c r="K74" s="100"/>
      <c r="M74" s="101"/>
      <c r="N74" s="23" t="s">
        <v>850</v>
      </c>
      <c r="O74" s="23" t="s">
        <v>848</v>
      </c>
      <c r="P74" s="23" t="s">
        <v>106</v>
      </c>
      <c r="Q74" s="100"/>
    </row>
    <row r="75" spans="1:17" ht="16.350000000000001" customHeight="1" x14ac:dyDescent="0.2">
      <c r="A75" s="63" t="s">
        <v>54</v>
      </c>
      <c r="B75" s="87">
        <v>14.4</v>
      </c>
      <c r="C75" s="83">
        <v>2225.2800000000002</v>
      </c>
      <c r="D75" s="88">
        <f t="shared" ref="D75:D86" si="11">C75/B75</f>
        <v>154.53333333333333</v>
      </c>
      <c r="E75" s="90" t="s">
        <v>359</v>
      </c>
      <c r="G75" s="63" t="s">
        <v>54</v>
      </c>
      <c r="H75" s="82">
        <v>43.4</v>
      </c>
      <c r="I75" s="83">
        <v>1772.67</v>
      </c>
      <c r="J75" s="84">
        <f>I75/H75</f>
        <v>40.84493087557604</v>
      </c>
      <c r="K75" s="90" t="s">
        <v>360</v>
      </c>
      <c r="M75" s="63" t="s">
        <v>54</v>
      </c>
      <c r="N75" s="114">
        <v>79.763000000000005</v>
      </c>
      <c r="O75" s="80">
        <v>10876.9</v>
      </c>
      <c r="P75" s="88">
        <f t="shared" ref="P75:P86" si="12">O75/N75</f>
        <v>136.36523199979939</v>
      </c>
      <c r="Q75" s="90" t="s">
        <v>365</v>
      </c>
    </row>
    <row r="76" spans="1:17" ht="16.350000000000001" customHeight="1" x14ac:dyDescent="0.2">
      <c r="A76" s="63" t="s">
        <v>55</v>
      </c>
      <c r="B76" s="87">
        <v>145.30000000000001</v>
      </c>
      <c r="C76" s="83">
        <v>3127.96</v>
      </c>
      <c r="D76" s="88">
        <f t="shared" si="11"/>
        <v>21.527598072952511</v>
      </c>
      <c r="E76" s="90" t="s">
        <v>367</v>
      </c>
      <c r="G76" s="63" t="s">
        <v>55</v>
      </c>
      <c r="H76" s="82">
        <v>47.3</v>
      </c>
      <c r="I76" s="83">
        <v>1621.06</v>
      </c>
      <c r="J76" s="84">
        <f t="shared" ref="J76:J86" si="13">I76/H76</f>
        <v>34.271881606765326</v>
      </c>
      <c r="K76" s="90" t="s">
        <v>368</v>
      </c>
      <c r="M76" s="63" t="s">
        <v>55</v>
      </c>
      <c r="N76" s="114">
        <v>90.801000000000002</v>
      </c>
      <c r="O76" s="80">
        <v>13119.57</v>
      </c>
      <c r="P76" s="88">
        <f t="shared" si="12"/>
        <v>144.48706512042818</v>
      </c>
      <c r="Q76" s="90" t="s">
        <v>369</v>
      </c>
    </row>
    <row r="77" spans="1:17" ht="16.350000000000001" customHeight="1" x14ac:dyDescent="0.2">
      <c r="A77" s="63" t="s">
        <v>58</v>
      </c>
      <c r="B77" s="87">
        <v>184.7</v>
      </c>
      <c r="C77" s="83">
        <v>7958.86</v>
      </c>
      <c r="D77" s="88">
        <f t="shared" si="11"/>
        <v>43.090741743367623</v>
      </c>
      <c r="E77" s="90" t="s">
        <v>370</v>
      </c>
      <c r="G77" s="63" t="s">
        <v>58</v>
      </c>
      <c r="H77" s="114">
        <v>83.6</v>
      </c>
      <c r="I77" s="80">
        <v>2478.4499999999998</v>
      </c>
      <c r="J77" s="84">
        <f t="shared" si="13"/>
        <v>29.64653110047847</v>
      </c>
      <c r="K77" s="90" t="s">
        <v>269</v>
      </c>
      <c r="M77" s="63" t="s">
        <v>58</v>
      </c>
      <c r="N77" s="114">
        <v>114.389</v>
      </c>
      <c r="O77" s="80">
        <v>14612.18</v>
      </c>
      <c r="P77" s="88">
        <f t="shared" si="12"/>
        <v>127.74112895470719</v>
      </c>
      <c r="Q77" s="132" t="s">
        <v>275</v>
      </c>
    </row>
    <row r="78" spans="1:17" ht="16.350000000000001" customHeight="1" x14ac:dyDescent="0.2">
      <c r="A78" s="63" t="s">
        <v>61</v>
      </c>
      <c r="B78" s="114">
        <v>188.2</v>
      </c>
      <c r="C78" s="83">
        <v>7475.18</v>
      </c>
      <c r="D78" s="88">
        <f t="shared" si="11"/>
        <v>39.719341126461217</v>
      </c>
      <c r="E78" s="90" t="s">
        <v>373</v>
      </c>
      <c r="G78" s="63" t="s">
        <v>61</v>
      </c>
      <c r="H78" s="114">
        <v>75.5</v>
      </c>
      <c r="I78" s="83">
        <v>2459.42</v>
      </c>
      <c r="J78" s="84">
        <f t="shared" si="13"/>
        <v>32.575099337748348</v>
      </c>
      <c r="K78" s="90" t="s">
        <v>272</v>
      </c>
      <c r="M78" s="63" t="s">
        <v>61</v>
      </c>
      <c r="N78" s="114">
        <v>112.1</v>
      </c>
      <c r="O78" s="80">
        <v>15119.21</v>
      </c>
      <c r="P78" s="88">
        <f t="shared" si="12"/>
        <v>134.87252453166815</v>
      </c>
      <c r="Q78" s="90" t="s">
        <v>376</v>
      </c>
    </row>
    <row r="79" spans="1:17" ht="16.350000000000001" customHeight="1" x14ac:dyDescent="0.2">
      <c r="A79" s="63" t="s">
        <v>63</v>
      </c>
      <c r="B79" s="114">
        <v>210.9</v>
      </c>
      <c r="C79" s="83">
        <v>8321.0300000000007</v>
      </c>
      <c r="D79" s="88">
        <f t="shared" si="11"/>
        <v>39.454860123281179</v>
      </c>
      <c r="E79" s="90" t="s">
        <v>378</v>
      </c>
      <c r="G79" s="63" t="s">
        <v>63</v>
      </c>
      <c r="H79" s="114">
        <v>107.8</v>
      </c>
      <c r="I79" s="83">
        <v>2885.82</v>
      </c>
      <c r="J79" s="84">
        <f t="shared" si="13"/>
        <v>26.770129870129871</v>
      </c>
      <c r="K79" s="90" t="s">
        <v>278</v>
      </c>
      <c r="M79" s="63" t="s">
        <v>63</v>
      </c>
      <c r="N79" s="114">
        <v>138.9</v>
      </c>
      <c r="O79" s="80">
        <v>17881.89</v>
      </c>
      <c r="P79" s="88">
        <v>65</v>
      </c>
      <c r="Q79" s="90" t="s">
        <v>377</v>
      </c>
    </row>
    <row r="80" spans="1:17" ht="16.350000000000001" customHeight="1" x14ac:dyDescent="0.2">
      <c r="A80" s="63" t="s">
        <v>65</v>
      </c>
      <c r="B80" s="114">
        <v>234.6</v>
      </c>
      <c r="C80" s="83">
        <v>11025.32</v>
      </c>
      <c r="D80" s="88">
        <f t="shared" si="11"/>
        <v>46.996248934356352</v>
      </c>
      <c r="E80" s="90" t="s">
        <v>380</v>
      </c>
      <c r="G80" s="63" t="s">
        <v>65</v>
      </c>
      <c r="H80" s="114">
        <v>139.5</v>
      </c>
      <c r="I80" s="83">
        <v>4228.3500000000004</v>
      </c>
      <c r="J80" s="84">
        <f t="shared" si="13"/>
        <v>30.310752688172045</v>
      </c>
      <c r="K80" s="90" t="s">
        <v>286</v>
      </c>
      <c r="M80" s="63" t="s">
        <v>65</v>
      </c>
      <c r="N80" s="114">
        <v>159.6</v>
      </c>
      <c r="O80" s="80">
        <v>19536.22</v>
      </c>
      <c r="P80" s="88">
        <f t="shared" si="12"/>
        <v>122.40739348370928</v>
      </c>
      <c r="Q80" s="90" t="s">
        <v>383</v>
      </c>
    </row>
    <row r="81" spans="1:17" ht="16.350000000000001" customHeight="1" x14ac:dyDescent="0.2">
      <c r="A81" s="63" t="s">
        <v>67</v>
      </c>
      <c r="B81" s="114">
        <v>238.8</v>
      </c>
      <c r="C81" s="83">
        <v>14464.55</v>
      </c>
      <c r="D81" s="88">
        <f t="shared" si="11"/>
        <v>60.571817420435508</v>
      </c>
      <c r="E81" s="90" t="s">
        <v>384</v>
      </c>
      <c r="G81" s="63" t="s">
        <v>67</v>
      </c>
      <c r="H81" s="114">
        <v>140.5</v>
      </c>
      <c r="I81" s="83">
        <v>4362.66</v>
      </c>
      <c r="J81" s="84">
        <f t="shared" si="13"/>
        <v>31.050960854092526</v>
      </c>
      <c r="K81" s="90" t="s">
        <v>283</v>
      </c>
      <c r="M81" s="63" t="s">
        <v>67</v>
      </c>
      <c r="N81" s="114">
        <v>172.1</v>
      </c>
      <c r="O81" s="80">
        <v>26104.51</v>
      </c>
      <c r="P81" s="88">
        <f t="shared" si="12"/>
        <v>151.68221963974432</v>
      </c>
      <c r="Q81" s="90" t="s">
        <v>285</v>
      </c>
    </row>
    <row r="82" spans="1:17" ht="16.350000000000001" customHeight="1" x14ac:dyDescent="0.2">
      <c r="A82" s="63" t="s">
        <v>62</v>
      </c>
      <c r="B82" s="114">
        <v>223.3</v>
      </c>
      <c r="C82" s="83">
        <v>13486.25</v>
      </c>
      <c r="D82" s="88">
        <f t="shared" si="11"/>
        <v>60.395208240035821</v>
      </c>
      <c r="E82" s="90" t="s">
        <v>386</v>
      </c>
      <c r="G82" s="63" t="s">
        <v>62</v>
      </c>
      <c r="H82" s="114">
        <v>133.69999999999999</v>
      </c>
      <c r="I82" s="83">
        <v>4395.4399999999996</v>
      </c>
      <c r="J82" s="84">
        <f t="shared" si="13"/>
        <v>32.875392670157069</v>
      </c>
      <c r="K82" s="90" t="s">
        <v>387</v>
      </c>
      <c r="M82" s="63" t="s">
        <v>62</v>
      </c>
      <c r="N82" s="114">
        <v>167.9</v>
      </c>
      <c r="O82" s="80">
        <v>22710.21</v>
      </c>
      <c r="P82" s="88">
        <f t="shared" si="12"/>
        <v>135.26033353186421</v>
      </c>
      <c r="Q82" s="90" t="s">
        <v>312</v>
      </c>
    </row>
    <row r="83" spans="1:17" ht="16.350000000000001" customHeight="1" x14ac:dyDescent="0.2">
      <c r="A83" s="63" t="s">
        <v>64</v>
      </c>
      <c r="B83" s="114">
        <v>249.7</v>
      </c>
      <c r="C83" s="83">
        <v>14834.95</v>
      </c>
      <c r="D83" s="88">
        <f t="shared" si="11"/>
        <v>59.411093311974376</v>
      </c>
      <c r="E83" s="90" t="s">
        <v>388</v>
      </c>
      <c r="G83" s="63" t="s">
        <v>64</v>
      </c>
      <c r="H83" s="114">
        <v>130.69999999999999</v>
      </c>
      <c r="I83" s="83">
        <v>4699.4399999999996</v>
      </c>
      <c r="J83" s="84">
        <f t="shared" si="13"/>
        <v>35.955929609793422</v>
      </c>
      <c r="K83" s="90" t="s">
        <v>389</v>
      </c>
      <c r="M83" s="63" t="s">
        <v>64</v>
      </c>
      <c r="N83" s="114">
        <v>183.8</v>
      </c>
      <c r="O83" s="80">
        <v>24513.84</v>
      </c>
      <c r="P83" s="88">
        <f t="shared" si="12"/>
        <v>133.37236126224155</v>
      </c>
      <c r="Q83" s="90" t="s">
        <v>320</v>
      </c>
    </row>
    <row r="84" spans="1:17" ht="16.350000000000001" customHeight="1" x14ac:dyDescent="0.2">
      <c r="A84" s="63" t="s">
        <v>66</v>
      </c>
      <c r="B84" s="114">
        <v>171.3</v>
      </c>
      <c r="C84" s="83">
        <v>12627</v>
      </c>
      <c r="D84" s="88">
        <f t="shared" si="11"/>
        <v>73.712784588441323</v>
      </c>
      <c r="E84" s="90" t="s">
        <v>390</v>
      </c>
      <c r="G84" s="63" t="s">
        <v>66</v>
      </c>
      <c r="H84" s="114">
        <v>89</v>
      </c>
      <c r="I84" s="83">
        <v>3839.46</v>
      </c>
      <c r="J84" s="84">
        <f t="shared" si="13"/>
        <v>43.14</v>
      </c>
      <c r="K84" s="90" t="s">
        <v>391</v>
      </c>
      <c r="M84" s="63" t="s">
        <v>66</v>
      </c>
      <c r="N84" s="171">
        <v>141.96</v>
      </c>
      <c r="O84" s="83">
        <v>21012.400000000001</v>
      </c>
      <c r="P84" s="88">
        <f t="shared" si="12"/>
        <v>148.01634263172724</v>
      </c>
      <c r="Q84" s="90" t="s">
        <v>342</v>
      </c>
    </row>
    <row r="85" spans="1:17" ht="16.350000000000001" customHeight="1" x14ac:dyDescent="0.2">
      <c r="A85" s="63" t="s">
        <v>56</v>
      </c>
      <c r="B85" s="114">
        <v>110</v>
      </c>
      <c r="C85" s="83">
        <v>5984.14</v>
      </c>
      <c r="D85" s="88">
        <f t="shared" si="11"/>
        <v>54.401272727272733</v>
      </c>
      <c r="E85" s="90" t="s">
        <v>393</v>
      </c>
      <c r="G85" s="63" t="s">
        <v>56</v>
      </c>
      <c r="H85" s="114">
        <v>64</v>
      </c>
      <c r="I85" s="83">
        <v>2960.61</v>
      </c>
      <c r="J85" s="84">
        <f t="shared" si="13"/>
        <v>46.259531250000002</v>
      </c>
      <c r="K85" s="90" t="s">
        <v>394</v>
      </c>
      <c r="M85" s="63" t="s">
        <v>56</v>
      </c>
      <c r="N85" s="171">
        <v>87.174000000000007</v>
      </c>
      <c r="O85" s="83">
        <v>12030.52</v>
      </c>
      <c r="P85" s="88">
        <f t="shared" si="12"/>
        <v>138.00582742560854</v>
      </c>
      <c r="Q85" s="90" t="s">
        <v>404</v>
      </c>
    </row>
    <row r="86" spans="1:17" ht="16.350000000000001" customHeight="1" x14ac:dyDescent="0.2">
      <c r="A86" s="102" t="s">
        <v>59</v>
      </c>
      <c r="B86" s="115">
        <v>60.9</v>
      </c>
      <c r="C86" s="131">
        <v>5468.18</v>
      </c>
      <c r="D86" s="72">
        <f t="shared" si="11"/>
        <v>89.789490968801317</v>
      </c>
      <c r="E86" s="95" t="s">
        <v>403</v>
      </c>
      <c r="G86" s="102" t="s">
        <v>59</v>
      </c>
      <c r="H86" s="115">
        <v>39.700000000000003</v>
      </c>
      <c r="I86" s="131">
        <v>2668.52</v>
      </c>
      <c r="J86" s="71">
        <f t="shared" si="13"/>
        <v>67.217128463476058</v>
      </c>
      <c r="K86" s="95" t="s">
        <v>353</v>
      </c>
      <c r="M86" s="102" t="s">
        <v>59</v>
      </c>
      <c r="N86" s="130">
        <v>78.900000000000006</v>
      </c>
      <c r="O86" s="131">
        <v>13016.47</v>
      </c>
      <c r="P86" s="72">
        <f t="shared" si="12"/>
        <v>164.97427122940428</v>
      </c>
      <c r="Q86" s="95" t="s">
        <v>362</v>
      </c>
    </row>
    <row r="87" spans="1:17" ht="16.350000000000001" customHeight="1" x14ac:dyDescent="0.35">
      <c r="A87" s="63" t="s">
        <v>30</v>
      </c>
      <c r="B87" s="134">
        <f>SUM(B75:B86)</f>
        <v>2032.1</v>
      </c>
      <c r="C87" s="134">
        <f>SUM(C75:C84)</f>
        <v>95546.37999999999</v>
      </c>
      <c r="D87" s="88">
        <f>C87/SUM(B75:B86)</f>
        <v>47.018542394567191</v>
      </c>
      <c r="E87" s="140"/>
      <c r="G87" s="63" t="s">
        <v>30</v>
      </c>
      <c r="H87" s="134">
        <f>SUM(H75:H86)</f>
        <v>1094.7</v>
      </c>
      <c r="I87" s="84">
        <f>SUM(I75:I86)</f>
        <v>38371.899999999994</v>
      </c>
      <c r="J87" s="88">
        <f>I87/H87</f>
        <v>35.052434456928829</v>
      </c>
      <c r="K87" s="140"/>
      <c r="M87" s="63" t="s">
        <v>30</v>
      </c>
      <c r="N87" s="134">
        <f>SUM(N75:N86)</f>
        <v>1527.3870000000002</v>
      </c>
      <c r="O87" s="84">
        <f>SUM(O75:O86)</f>
        <v>210533.91999999998</v>
      </c>
      <c r="P87" s="88">
        <f>(O87)/SUM(N75:N86)</f>
        <v>137.83927714456124</v>
      </c>
      <c r="Q87" s="86"/>
    </row>
    <row r="88" spans="1:17" ht="16.350000000000001" customHeight="1" x14ac:dyDescent="0.25">
      <c r="C88" s="68"/>
      <c r="E88" s="47"/>
    </row>
    <row r="90" spans="1:17" ht="16.350000000000001" customHeight="1" x14ac:dyDescent="0.25">
      <c r="A90" s="59"/>
      <c r="B90" s="81"/>
      <c r="C90" s="77">
        <v>2003</v>
      </c>
      <c r="D90" s="87"/>
      <c r="E90" s="86"/>
      <c r="G90" s="59"/>
      <c r="H90" s="81"/>
      <c r="I90" s="77">
        <v>2003</v>
      </c>
      <c r="J90" s="28"/>
      <c r="K90" s="86"/>
      <c r="M90" s="59"/>
      <c r="N90" s="81"/>
      <c r="O90" s="77">
        <v>2003</v>
      </c>
      <c r="P90" s="28"/>
      <c r="Q90" s="86"/>
    </row>
    <row r="91" spans="1:17" ht="16.350000000000001" customHeight="1" x14ac:dyDescent="0.2">
      <c r="A91" s="101"/>
      <c r="B91" s="23" t="s">
        <v>850</v>
      </c>
      <c r="C91" s="23" t="s">
        <v>848</v>
      </c>
      <c r="D91" s="688" t="s">
        <v>106</v>
      </c>
      <c r="E91" s="100"/>
      <c r="G91" s="120"/>
      <c r="H91" s="23" t="s">
        <v>850</v>
      </c>
      <c r="I91" s="23" t="s">
        <v>848</v>
      </c>
      <c r="J91" s="23" t="s">
        <v>106</v>
      </c>
      <c r="K91" s="100"/>
      <c r="M91" s="101"/>
      <c r="N91" s="23" t="s">
        <v>850</v>
      </c>
      <c r="O91" s="23" t="s">
        <v>848</v>
      </c>
      <c r="P91" s="23" t="s">
        <v>106</v>
      </c>
      <c r="Q91" s="100"/>
    </row>
    <row r="92" spans="1:17" ht="16.350000000000001" customHeight="1" x14ac:dyDescent="0.2">
      <c r="A92" s="63" t="s">
        <v>54</v>
      </c>
      <c r="B92" s="87">
        <v>127.4</v>
      </c>
      <c r="C92" s="83">
        <v>3171.64</v>
      </c>
      <c r="D92" s="88">
        <f t="shared" ref="D92:D103" si="14">C92/B92</f>
        <v>24.89513343799058</v>
      </c>
      <c r="E92" s="90" t="s">
        <v>406</v>
      </c>
      <c r="G92" s="63" t="s">
        <v>54</v>
      </c>
      <c r="H92" s="82">
        <v>55.3</v>
      </c>
      <c r="I92" s="83">
        <v>1842.75</v>
      </c>
      <c r="J92" s="84">
        <f>I92/H92</f>
        <v>33.322784810126585</v>
      </c>
      <c r="K92" s="90" t="s">
        <v>359</v>
      </c>
      <c r="M92" s="63" t="s">
        <v>54</v>
      </c>
      <c r="N92" s="114">
        <v>98.74</v>
      </c>
      <c r="O92" s="83">
        <v>13635.79</v>
      </c>
      <c r="P92" s="88">
        <f t="shared" ref="P92:P104" si="15">O92/N92</f>
        <v>138.09793396799677</v>
      </c>
      <c r="Q92" s="90" t="s">
        <v>413</v>
      </c>
    </row>
    <row r="93" spans="1:17" ht="16.350000000000001" customHeight="1" x14ac:dyDescent="0.2">
      <c r="A93" s="63" t="s">
        <v>55</v>
      </c>
      <c r="B93" s="87">
        <v>83.2</v>
      </c>
      <c r="C93" s="83">
        <v>6384.03</v>
      </c>
      <c r="D93" s="88">
        <f t="shared" si="14"/>
        <v>76.731129807692298</v>
      </c>
      <c r="E93" s="90" t="s">
        <v>409</v>
      </c>
      <c r="G93" s="63" t="s">
        <v>55</v>
      </c>
      <c r="H93" s="82">
        <v>46.8</v>
      </c>
      <c r="I93" s="83">
        <v>2463.34</v>
      </c>
      <c r="J93" s="88">
        <f t="shared" ref="J93:J103" si="16">I93/H93</f>
        <v>52.635470085470089</v>
      </c>
      <c r="K93" s="173" t="s">
        <v>410</v>
      </c>
      <c r="M93" s="63" t="s">
        <v>55</v>
      </c>
      <c r="N93" s="114">
        <v>69.28</v>
      </c>
      <c r="O93" s="83">
        <v>11532.75</v>
      </c>
      <c r="P93" s="88">
        <f t="shared" si="15"/>
        <v>166.46579099307158</v>
      </c>
      <c r="Q93" s="90" t="s">
        <v>414</v>
      </c>
    </row>
    <row r="94" spans="1:17" ht="16.350000000000001" customHeight="1" x14ac:dyDescent="0.2">
      <c r="A94" s="63" t="s">
        <v>58</v>
      </c>
      <c r="B94" s="87">
        <v>86.8</v>
      </c>
      <c r="C94" s="83">
        <v>2439.7199999999998</v>
      </c>
      <c r="D94" s="88">
        <f t="shared" si="14"/>
        <v>28.107373271889401</v>
      </c>
      <c r="E94" s="90" t="s">
        <v>411</v>
      </c>
      <c r="G94" s="63" t="s">
        <v>58</v>
      </c>
      <c r="H94" s="171">
        <v>55.2</v>
      </c>
      <c r="I94" s="83">
        <v>1905.79</v>
      </c>
      <c r="J94" s="88">
        <f t="shared" si="16"/>
        <v>34.525181159420285</v>
      </c>
      <c r="K94" s="173" t="s">
        <v>412</v>
      </c>
      <c r="M94" s="63" t="s">
        <v>58</v>
      </c>
      <c r="N94" s="114">
        <v>75</v>
      </c>
      <c r="O94" s="83">
        <v>12661.98</v>
      </c>
      <c r="P94" s="88">
        <f t="shared" si="15"/>
        <v>168.82640000000001</v>
      </c>
      <c r="Q94" s="132" t="s">
        <v>275</v>
      </c>
    </row>
    <row r="95" spans="1:17" ht="16.350000000000001" customHeight="1" x14ac:dyDescent="0.2">
      <c r="A95" s="63" t="s">
        <v>61</v>
      </c>
      <c r="B95" s="114">
        <v>130</v>
      </c>
      <c r="C95" s="83">
        <v>5807.83</v>
      </c>
      <c r="D95" s="88">
        <f t="shared" si="14"/>
        <v>44.675615384615384</v>
      </c>
      <c r="E95" s="90" t="s">
        <v>422</v>
      </c>
      <c r="G95" s="63" t="s">
        <v>61</v>
      </c>
      <c r="H95" s="171">
        <v>83.4</v>
      </c>
      <c r="I95" s="83">
        <v>2427.6</v>
      </c>
      <c r="J95" s="88">
        <f t="shared" si="16"/>
        <v>29.107913669064747</v>
      </c>
      <c r="K95" s="173" t="s">
        <v>417</v>
      </c>
      <c r="M95" s="63" t="s">
        <v>61</v>
      </c>
      <c r="N95" s="114">
        <v>111.42</v>
      </c>
      <c r="O95" s="83">
        <v>14753.52</v>
      </c>
      <c r="P95" s="88">
        <v>61.8</v>
      </c>
      <c r="Q95" s="90" t="s">
        <v>277</v>
      </c>
    </row>
    <row r="96" spans="1:17" ht="16.350000000000001" customHeight="1" x14ac:dyDescent="0.2">
      <c r="A96" s="63" t="s">
        <v>63</v>
      </c>
      <c r="B96" s="114">
        <v>193.1</v>
      </c>
      <c r="C96" s="83">
        <v>4599.04</v>
      </c>
      <c r="D96" s="88">
        <f t="shared" si="14"/>
        <v>23.816882444329362</v>
      </c>
      <c r="E96" s="132" t="s">
        <v>421</v>
      </c>
      <c r="G96" s="63" t="s">
        <v>63</v>
      </c>
      <c r="H96" s="171">
        <v>86.6</v>
      </c>
      <c r="I96" s="83">
        <v>2560.2600000000002</v>
      </c>
      <c r="J96" s="88">
        <f t="shared" si="16"/>
        <v>29.564203233256354</v>
      </c>
      <c r="K96" s="173" t="s">
        <v>423</v>
      </c>
      <c r="M96" s="63" t="s">
        <v>63</v>
      </c>
      <c r="N96" s="114">
        <v>120.8</v>
      </c>
      <c r="O96" s="83">
        <v>16063.87</v>
      </c>
      <c r="P96" s="88">
        <f t="shared" si="15"/>
        <v>132.97905629139075</v>
      </c>
      <c r="Q96" s="90" t="s">
        <v>420</v>
      </c>
    </row>
    <row r="97" spans="1:17" ht="16.350000000000001" customHeight="1" x14ac:dyDescent="0.2">
      <c r="A97" s="63" t="s">
        <v>65</v>
      </c>
      <c r="B97" s="114">
        <v>186.4</v>
      </c>
      <c r="C97" s="83">
        <v>9811.41</v>
      </c>
      <c r="D97" s="88">
        <f t="shared" si="14"/>
        <v>52.63631974248927</v>
      </c>
      <c r="E97" s="90" t="s">
        <v>425</v>
      </c>
      <c r="G97" s="63" t="s">
        <v>65</v>
      </c>
      <c r="H97" s="114">
        <v>104.6</v>
      </c>
      <c r="I97" s="83">
        <v>3444.42</v>
      </c>
      <c r="J97" s="88">
        <f t="shared" si="16"/>
        <v>32.929445506692161</v>
      </c>
      <c r="K97" s="173" t="s">
        <v>426</v>
      </c>
      <c r="M97" s="63" t="s">
        <v>65</v>
      </c>
      <c r="N97" s="114">
        <v>119.59</v>
      </c>
      <c r="O97" s="80">
        <v>9613.39</v>
      </c>
      <c r="P97" s="88">
        <f t="shared" si="15"/>
        <v>80.386236307383555</v>
      </c>
      <c r="Q97" s="90" t="s">
        <v>434</v>
      </c>
    </row>
    <row r="98" spans="1:17" ht="16.350000000000001" customHeight="1" x14ac:dyDescent="0.2">
      <c r="A98" s="63" t="s">
        <v>67</v>
      </c>
      <c r="B98" s="114">
        <v>290.89999999999998</v>
      </c>
      <c r="C98" s="83">
        <v>13441.21</v>
      </c>
      <c r="D98" s="88">
        <f t="shared" si="14"/>
        <v>46.205603300103128</v>
      </c>
      <c r="E98" s="90" t="s">
        <v>428</v>
      </c>
      <c r="G98" s="63" t="s">
        <v>67</v>
      </c>
      <c r="H98" s="114">
        <v>138.80000000000001</v>
      </c>
      <c r="I98" s="83">
        <v>3768.07</v>
      </c>
      <c r="J98" s="88">
        <f t="shared" si="16"/>
        <v>27.147478386167148</v>
      </c>
      <c r="K98" s="173" t="s">
        <v>283</v>
      </c>
      <c r="M98" s="63" t="s">
        <v>67</v>
      </c>
      <c r="N98" s="114">
        <v>164.66</v>
      </c>
      <c r="O98" s="80">
        <v>27152.01</v>
      </c>
      <c r="P98" s="88">
        <f t="shared" si="15"/>
        <v>164.89742499696342</v>
      </c>
      <c r="Q98" s="90" t="s">
        <v>435</v>
      </c>
    </row>
    <row r="99" spans="1:17" ht="16.350000000000001" customHeight="1" x14ac:dyDescent="0.2">
      <c r="A99" s="63" t="s">
        <v>62</v>
      </c>
      <c r="B99" s="114">
        <v>266.2</v>
      </c>
      <c r="C99" s="83">
        <v>12234.76</v>
      </c>
      <c r="D99" s="88">
        <f t="shared" si="14"/>
        <v>45.96078136739294</v>
      </c>
      <c r="E99" s="90" t="s">
        <v>436</v>
      </c>
      <c r="G99" s="63" t="s">
        <v>62</v>
      </c>
      <c r="H99" s="114">
        <v>146.69999999999999</v>
      </c>
      <c r="I99" s="83">
        <v>4095.64</v>
      </c>
      <c r="J99" s="88">
        <f t="shared" si="16"/>
        <v>27.918473074301296</v>
      </c>
      <c r="K99" s="173" t="s">
        <v>387</v>
      </c>
      <c r="M99" s="63" t="s">
        <v>62</v>
      </c>
      <c r="N99" s="114">
        <v>179.16</v>
      </c>
      <c r="O99" s="80">
        <v>25648.13</v>
      </c>
      <c r="P99" s="88">
        <f t="shared" si="15"/>
        <v>143.15768028577807</v>
      </c>
      <c r="Q99" s="90" t="s">
        <v>444</v>
      </c>
    </row>
    <row r="100" spans="1:17" ht="16.350000000000001" customHeight="1" x14ac:dyDescent="0.2">
      <c r="A100" s="63" t="s">
        <v>64</v>
      </c>
      <c r="B100" s="114">
        <v>191.9</v>
      </c>
      <c r="C100" s="83">
        <v>11455.74</v>
      </c>
      <c r="D100" s="88">
        <f t="shared" si="14"/>
        <v>59.696404377279833</v>
      </c>
      <c r="E100" s="90" t="s">
        <v>438</v>
      </c>
      <c r="G100" s="63" t="s">
        <v>64</v>
      </c>
      <c r="H100" s="114">
        <v>135.80000000000001</v>
      </c>
      <c r="I100" s="83">
        <v>3951.08</v>
      </c>
      <c r="J100" s="88">
        <f t="shared" si="16"/>
        <v>29.094845360824738</v>
      </c>
      <c r="K100" s="173" t="s">
        <v>439</v>
      </c>
      <c r="M100" s="63" t="s">
        <v>64</v>
      </c>
      <c r="N100" s="114">
        <v>165.38800000000001</v>
      </c>
      <c r="O100" s="80">
        <v>4873.79</v>
      </c>
      <c r="P100" s="88">
        <f t="shared" si="15"/>
        <v>29.46882482405011</v>
      </c>
      <c r="Q100" s="90" t="s">
        <v>443</v>
      </c>
    </row>
    <row r="101" spans="1:17" ht="16.350000000000001" customHeight="1" x14ac:dyDescent="0.2">
      <c r="A101" s="63" t="s">
        <v>66</v>
      </c>
      <c r="B101" s="114">
        <v>221.3</v>
      </c>
      <c r="C101" s="83">
        <v>3771.69</v>
      </c>
      <c r="D101" s="88">
        <f t="shared" si="14"/>
        <v>17.043334839584276</v>
      </c>
      <c r="E101" s="90" t="s">
        <v>447</v>
      </c>
      <c r="G101" s="63" t="s">
        <v>66</v>
      </c>
      <c r="H101" s="114">
        <v>105.5</v>
      </c>
      <c r="I101" s="83">
        <v>527.61</v>
      </c>
      <c r="J101" s="88">
        <f t="shared" si="16"/>
        <v>5.0010426540284358</v>
      </c>
      <c r="K101" s="173" t="s">
        <v>448</v>
      </c>
      <c r="M101" s="63" t="s">
        <v>66</v>
      </c>
      <c r="N101" s="114">
        <v>154.1</v>
      </c>
      <c r="O101" s="80">
        <v>10453.59</v>
      </c>
      <c r="P101" s="88">
        <f t="shared" si="15"/>
        <v>67.836404931862432</v>
      </c>
      <c r="Q101" s="90" t="s">
        <v>453</v>
      </c>
    </row>
    <row r="102" spans="1:17" ht="16.350000000000001" customHeight="1" x14ac:dyDescent="0.2">
      <c r="A102" s="63" t="s">
        <v>56</v>
      </c>
      <c r="B102" s="114">
        <v>129.9</v>
      </c>
      <c r="C102" s="83">
        <v>7035.4</v>
      </c>
      <c r="D102" s="88">
        <f t="shared" si="14"/>
        <v>54.160123171670513</v>
      </c>
      <c r="E102" s="90" t="s">
        <v>449</v>
      </c>
      <c r="G102" s="63" t="s">
        <v>56</v>
      </c>
      <c r="H102" s="114">
        <v>56.8</v>
      </c>
      <c r="I102" s="83">
        <v>2837.8</v>
      </c>
      <c r="J102" s="88">
        <f t="shared" si="16"/>
        <v>49.961267605633807</v>
      </c>
      <c r="K102" s="173" t="s">
        <v>450</v>
      </c>
      <c r="M102" s="63" t="s">
        <v>56</v>
      </c>
      <c r="N102" s="114">
        <v>107.7</v>
      </c>
      <c r="O102" s="80">
        <v>20386.240000000002</v>
      </c>
      <c r="P102" s="88">
        <f t="shared" si="15"/>
        <v>189.28727948003714</v>
      </c>
      <c r="Q102" s="90" t="s">
        <v>454</v>
      </c>
    </row>
    <row r="103" spans="1:17" ht="16.350000000000001" customHeight="1" x14ac:dyDescent="0.2">
      <c r="A103" s="102" t="s">
        <v>59</v>
      </c>
      <c r="B103" s="115">
        <v>98.8</v>
      </c>
      <c r="C103" s="131">
        <v>5093.3900000000003</v>
      </c>
      <c r="D103" s="72">
        <f t="shared" si="14"/>
        <v>51.552530364372473</v>
      </c>
      <c r="E103" s="95" t="s">
        <v>403</v>
      </c>
      <c r="G103" s="102" t="s">
        <v>59</v>
      </c>
      <c r="H103" s="115">
        <v>49.5</v>
      </c>
      <c r="I103" s="131">
        <v>2222.91</v>
      </c>
      <c r="J103" s="72">
        <f t="shared" si="16"/>
        <v>44.907272727272726</v>
      </c>
      <c r="K103" s="175" t="s">
        <v>459</v>
      </c>
      <c r="M103" s="102" t="s">
        <v>59</v>
      </c>
      <c r="N103" s="115">
        <v>85.6</v>
      </c>
      <c r="O103" s="70">
        <v>9731.48</v>
      </c>
      <c r="P103" s="72">
        <f t="shared" si="15"/>
        <v>113.68551401869159</v>
      </c>
      <c r="Q103" s="95" t="s">
        <v>362</v>
      </c>
    </row>
    <row r="104" spans="1:17" ht="16.350000000000001" customHeight="1" x14ac:dyDescent="0.35">
      <c r="A104" s="63" t="s">
        <v>30</v>
      </c>
      <c r="B104" s="134">
        <f>SUM(B92:B103)</f>
        <v>2005.9</v>
      </c>
      <c r="C104" s="134">
        <f>SUM(C92:C103)</f>
        <v>85245.86</v>
      </c>
      <c r="D104" s="88">
        <f>C104/B104</f>
        <v>42.497562191534968</v>
      </c>
      <c r="E104" s="140"/>
      <c r="G104" s="63" t="s">
        <v>30</v>
      </c>
      <c r="H104" s="116">
        <f>SUM(H92:H103)</f>
        <v>1065</v>
      </c>
      <c r="I104" s="84">
        <f>SUM(I92:I103)</f>
        <v>32047.269999999997</v>
      </c>
      <c r="J104" s="88">
        <f>I104/H104</f>
        <v>30.091333333333331</v>
      </c>
      <c r="K104" s="140"/>
      <c r="M104" s="63" t="s">
        <v>30</v>
      </c>
      <c r="N104" s="134">
        <f>SUM(N92:N103)</f>
        <v>1451.4379999999999</v>
      </c>
      <c r="O104" s="84">
        <f>SUM(O92:O103)</f>
        <v>176506.54</v>
      </c>
      <c r="P104" s="88">
        <f t="shared" si="15"/>
        <v>121.60804664064192</v>
      </c>
      <c r="Q104" s="86"/>
    </row>
    <row r="105" spans="1:17" ht="16.350000000000001" customHeight="1" x14ac:dyDescent="0.25">
      <c r="C105" s="68"/>
      <c r="E105" s="47"/>
    </row>
    <row r="107" spans="1:17" ht="16.350000000000001" customHeight="1" x14ac:dyDescent="0.25">
      <c r="A107" s="59"/>
      <c r="B107" s="81"/>
      <c r="C107" s="77">
        <v>2004</v>
      </c>
      <c r="D107" s="87"/>
      <c r="E107" s="86"/>
      <c r="G107" s="59"/>
      <c r="H107" s="81"/>
      <c r="I107" s="77">
        <v>2004</v>
      </c>
      <c r="J107" s="28"/>
      <c r="K107" s="86"/>
      <c r="M107" s="59"/>
      <c r="N107" s="81"/>
      <c r="O107" s="77">
        <v>2004</v>
      </c>
      <c r="P107" s="28"/>
      <c r="Q107" s="86"/>
    </row>
    <row r="108" spans="1:17" ht="16.350000000000001" customHeight="1" x14ac:dyDescent="0.2">
      <c r="A108" s="101"/>
      <c r="B108" s="23" t="s">
        <v>850</v>
      </c>
      <c r="C108" s="23" t="s">
        <v>848</v>
      </c>
      <c r="D108" s="688" t="s">
        <v>106</v>
      </c>
      <c r="E108" s="100"/>
      <c r="G108" s="120"/>
      <c r="H108" s="23" t="s">
        <v>850</v>
      </c>
      <c r="I108" s="23" t="s">
        <v>848</v>
      </c>
      <c r="J108" s="23" t="s">
        <v>106</v>
      </c>
      <c r="K108" s="100"/>
      <c r="M108" s="101"/>
      <c r="N108" s="23" t="s">
        <v>850</v>
      </c>
      <c r="O108" s="23" t="s">
        <v>848</v>
      </c>
      <c r="P108" s="23" t="s">
        <v>106</v>
      </c>
      <c r="Q108" s="100"/>
    </row>
    <row r="109" spans="1:17" ht="16.350000000000001" customHeight="1" x14ac:dyDescent="0.2">
      <c r="A109" s="63" t="s">
        <v>54</v>
      </c>
      <c r="B109" s="87">
        <v>117.3</v>
      </c>
      <c r="C109" s="83">
        <v>3712.98</v>
      </c>
      <c r="D109" s="88">
        <f t="shared" ref="D109:D120" si="17">C109/B109</f>
        <v>31.653708439897699</v>
      </c>
      <c r="E109" s="90" t="s">
        <v>406</v>
      </c>
      <c r="G109" s="63" t="s">
        <v>54</v>
      </c>
      <c r="H109" s="82">
        <v>50.4</v>
      </c>
      <c r="I109" s="83">
        <v>1725.39</v>
      </c>
      <c r="J109" s="88">
        <f>I109/H109</f>
        <v>34.233928571428578</v>
      </c>
      <c r="K109" s="174" t="s">
        <v>462</v>
      </c>
      <c r="M109" s="63" t="s">
        <v>54</v>
      </c>
      <c r="N109" s="114">
        <v>92.6</v>
      </c>
      <c r="O109" s="83">
        <v>11802.76</v>
      </c>
      <c r="P109" s="88">
        <f t="shared" ref="P109:P120" si="18">O109/N109</f>
        <v>127.45961123110152</v>
      </c>
      <c r="Q109" s="90" t="s">
        <v>467</v>
      </c>
    </row>
    <row r="110" spans="1:17" ht="16.350000000000001" customHeight="1" x14ac:dyDescent="0.2">
      <c r="A110" s="63" t="s">
        <v>55</v>
      </c>
      <c r="B110" s="87">
        <v>75.2</v>
      </c>
      <c r="C110" s="83">
        <v>4090.33</v>
      </c>
      <c r="D110" s="88">
        <f t="shared" si="17"/>
        <v>54.392686170212762</v>
      </c>
      <c r="E110" s="90" t="s">
        <v>468</v>
      </c>
      <c r="G110" s="63" t="s">
        <v>55</v>
      </c>
      <c r="H110" s="82">
        <v>45.3</v>
      </c>
      <c r="I110" s="83">
        <v>2009.72</v>
      </c>
      <c r="J110" s="88">
        <f t="shared" ref="J110:J119" si="19">I110/H110</f>
        <v>44.364679911699781</v>
      </c>
      <c r="K110" s="173" t="s">
        <v>469</v>
      </c>
      <c r="M110" s="63" t="s">
        <v>55</v>
      </c>
      <c r="N110" s="114">
        <v>73.2</v>
      </c>
      <c r="O110" s="83">
        <v>9540.5400000000009</v>
      </c>
      <c r="P110" s="88">
        <f t="shared" si="18"/>
        <v>130.33524590163935</v>
      </c>
      <c r="Q110" s="90" t="s">
        <v>478</v>
      </c>
    </row>
    <row r="111" spans="1:17" ht="16.350000000000001" customHeight="1" x14ac:dyDescent="0.2">
      <c r="A111" s="63" t="s">
        <v>58</v>
      </c>
      <c r="B111" s="87">
        <v>136.30000000000001</v>
      </c>
      <c r="C111" s="83">
        <v>3714.92</v>
      </c>
      <c r="D111" s="88">
        <f t="shared" si="17"/>
        <v>27.255465884079236</v>
      </c>
      <c r="E111" s="90" t="s">
        <v>471</v>
      </c>
      <c r="G111" s="63" t="s">
        <v>58</v>
      </c>
      <c r="H111" s="171">
        <v>71.5</v>
      </c>
      <c r="I111" s="83">
        <v>1488.79</v>
      </c>
      <c r="J111" s="88">
        <f t="shared" si="19"/>
        <v>20.822237762237762</v>
      </c>
      <c r="K111" s="173" t="s">
        <v>472</v>
      </c>
      <c r="M111" s="63" t="s">
        <v>58</v>
      </c>
      <c r="N111" s="114">
        <v>96.5</v>
      </c>
      <c r="O111" s="83">
        <v>11272.44</v>
      </c>
      <c r="P111" s="88">
        <f t="shared" si="18"/>
        <v>116.81284974093265</v>
      </c>
      <c r="Q111" s="132" t="s">
        <v>483</v>
      </c>
    </row>
    <row r="112" spans="1:17" ht="16.350000000000001" customHeight="1" x14ac:dyDescent="0.2">
      <c r="A112" s="63" t="s">
        <v>61</v>
      </c>
      <c r="B112" s="114">
        <v>172.7</v>
      </c>
      <c r="C112" s="83">
        <v>4988.5600000000004</v>
      </c>
      <c r="D112" s="88">
        <f t="shared" si="17"/>
        <v>28.8856977417487</v>
      </c>
      <c r="E112" s="90" t="s">
        <v>479</v>
      </c>
      <c r="G112" s="63" t="s">
        <v>61</v>
      </c>
      <c r="H112" s="171">
        <v>96.7</v>
      </c>
      <c r="I112" s="83">
        <v>2333.54</v>
      </c>
      <c r="J112" s="88">
        <f t="shared" si="19"/>
        <v>24.131747673216132</v>
      </c>
      <c r="K112" s="173" t="s">
        <v>480</v>
      </c>
      <c r="M112" s="63" t="s">
        <v>61</v>
      </c>
      <c r="N112" s="114">
        <v>126.7</v>
      </c>
      <c r="O112" s="83">
        <v>13752.46</v>
      </c>
      <c r="P112" s="88">
        <f t="shared" si="18"/>
        <v>108.54348855564324</v>
      </c>
      <c r="Q112" s="90" t="s">
        <v>484</v>
      </c>
    </row>
    <row r="113" spans="1:17" ht="16.350000000000001" customHeight="1" x14ac:dyDescent="0.2">
      <c r="A113" s="63" t="s">
        <v>63</v>
      </c>
      <c r="B113" s="114">
        <v>217.8</v>
      </c>
      <c r="C113" s="83">
        <v>5608.78</v>
      </c>
      <c r="D113" s="88">
        <f t="shared" si="17"/>
        <v>25.751974288337923</v>
      </c>
      <c r="E113" s="132" t="s">
        <v>486</v>
      </c>
      <c r="G113" s="63" t="s">
        <v>63</v>
      </c>
      <c r="H113" s="171">
        <v>143.9</v>
      </c>
      <c r="I113" s="83">
        <v>2878.76</v>
      </c>
      <c r="J113" s="88">
        <f t="shared" si="19"/>
        <v>20.00528144544823</v>
      </c>
      <c r="K113" s="173" t="s">
        <v>487</v>
      </c>
      <c r="M113" s="63" t="s">
        <v>63</v>
      </c>
      <c r="N113" s="114">
        <v>157.80000000000001</v>
      </c>
      <c r="O113" s="83">
        <v>14583.32</v>
      </c>
      <c r="P113" s="88">
        <f t="shared" si="18"/>
        <v>92.416476552598212</v>
      </c>
      <c r="Q113" s="90" t="s">
        <v>485</v>
      </c>
    </row>
    <row r="114" spans="1:17" ht="16.350000000000001" customHeight="1" x14ac:dyDescent="0.2">
      <c r="A114" s="63" t="s">
        <v>65</v>
      </c>
      <c r="B114" s="114">
        <v>218.3</v>
      </c>
      <c r="C114" s="83">
        <v>6249.86</v>
      </c>
      <c r="D114" s="88">
        <f t="shared" si="17"/>
        <v>28.629683921209342</v>
      </c>
      <c r="E114" s="90" t="s">
        <v>491</v>
      </c>
      <c r="G114" s="63" t="s">
        <v>65</v>
      </c>
      <c r="H114" s="114">
        <v>134.69999999999999</v>
      </c>
      <c r="I114" s="83">
        <v>3567.32</v>
      </c>
      <c r="J114" s="88">
        <f t="shared" si="19"/>
        <v>26.483444691907948</v>
      </c>
      <c r="K114" s="173" t="s">
        <v>491</v>
      </c>
      <c r="M114" s="63" t="s">
        <v>65</v>
      </c>
      <c r="N114" s="114">
        <v>149.6</v>
      </c>
      <c r="O114" s="80">
        <v>16635.28</v>
      </c>
      <c r="P114" s="88">
        <f t="shared" si="18"/>
        <v>111.19839572192512</v>
      </c>
      <c r="Q114" s="90" t="s">
        <v>490</v>
      </c>
    </row>
    <row r="115" spans="1:17" ht="16.350000000000001" customHeight="1" x14ac:dyDescent="0.2">
      <c r="A115" s="63" t="s">
        <v>67</v>
      </c>
      <c r="B115" s="114">
        <v>214.1</v>
      </c>
      <c r="C115" s="83">
        <v>8575.83</v>
      </c>
      <c r="D115" s="88">
        <f t="shared" si="17"/>
        <v>40.055254553946753</v>
      </c>
      <c r="E115" s="90" t="s">
        <v>428</v>
      </c>
      <c r="G115" s="63" t="s">
        <v>67</v>
      </c>
      <c r="H115" s="114">
        <v>161.6</v>
      </c>
      <c r="I115" s="83">
        <v>3756.97</v>
      </c>
      <c r="J115" s="88">
        <f t="shared" si="19"/>
        <v>23.248576732673268</v>
      </c>
      <c r="K115" s="173" t="s">
        <v>428</v>
      </c>
      <c r="M115" s="63" t="s">
        <v>67</v>
      </c>
      <c r="N115" s="114">
        <v>180.495</v>
      </c>
      <c r="O115" s="80">
        <v>19316.34</v>
      </c>
      <c r="P115" s="88">
        <f t="shared" si="18"/>
        <v>107.018698578908</v>
      </c>
      <c r="Q115" s="90" t="s">
        <v>497</v>
      </c>
    </row>
    <row r="116" spans="1:17" ht="16.350000000000001" customHeight="1" x14ac:dyDescent="0.2">
      <c r="A116" s="63" t="s">
        <v>62</v>
      </c>
      <c r="B116" s="114">
        <v>244.6</v>
      </c>
      <c r="C116" s="83">
        <v>8559.09</v>
      </c>
      <c r="D116" s="88">
        <f t="shared" si="17"/>
        <v>34.992191332788224</v>
      </c>
      <c r="E116" s="90" t="s">
        <v>498</v>
      </c>
      <c r="G116" s="63" t="s">
        <v>62</v>
      </c>
      <c r="H116" s="114">
        <v>162.6</v>
      </c>
      <c r="I116" s="83">
        <v>4352.3500000000004</v>
      </c>
      <c r="J116" s="88">
        <f t="shared" si="19"/>
        <v>26.767220172201725</v>
      </c>
      <c r="K116" s="173" t="s">
        <v>386</v>
      </c>
      <c r="M116" s="63" t="s">
        <v>62</v>
      </c>
      <c r="N116" s="114">
        <v>175.4</v>
      </c>
      <c r="O116" s="80">
        <v>32171.56</v>
      </c>
      <c r="P116" s="88">
        <f t="shared" si="18"/>
        <v>183.41824401368302</v>
      </c>
      <c r="Q116" s="90" t="s">
        <v>503</v>
      </c>
    </row>
    <row r="117" spans="1:17" ht="16.350000000000001" customHeight="1" x14ac:dyDescent="0.2">
      <c r="A117" s="63" t="s">
        <v>64</v>
      </c>
      <c r="B117" s="114">
        <v>227</v>
      </c>
      <c r="C117" s="83">
        <v>8762.2000000000007</v>
      </c>
      <c r="D117" s="88">
        <f t="shared" si="17"/>
        <v>38.6</v>
      </c>
      <c r="E117" s="90" t="s">
        <v>501</v>
      </c>
      <c r="G117" s="63" t="s">
        <v>64</v>
      </c>
      <c r="H117" s="114">
        <v>142.19999999999999</v>
      </c>
      <c r="I117" s="83">
        <v>4362.83</v>
      </c>
      <c r="J117" s="88">
        <f t="shared" si="19"/>
        <v>30.680942334739804</v>
      </c>
      <c r="K117" s="173" t="s">
        <v>502</v>
      </c>
      <c r="M117" s="63" t="s">
        <v>64</v>
      </c>
      <c r="N117" s="114">
        <v>163.19999999999999</v>
      </c>
      <c r="O117" s="80">
        <v>19393.37</v>
      </c>
      <c r="P117" s="88">
        <f t="shared" si="18"/>
        <v>118.83192401960784</v>
      </c>
      <c r="Q117" s="90" t="s">
        <v>320</v>
      </c>
    </row>
    <row r="118" spans="1:17" ht="16.350000000000001" customHeight="1" x14ac:dyDescent="0.2">
      <c r="A118" s="63" t="s">
        <v>66</v>
      </c>
      <c r="B118" s="114">
        <v>120.5</v>
      </c>
      <c r="C118" s="83">
        <v>8815.91</v>
      </c>
      <c r="D118" s="88">
        <f t="shared" si="17"/>
        <v>73.161078838174276</v>
      </c>
      <c r="E118" s="352" t="s">
        <v>572</v>
      </c>
      <c r="G118" s="63" t="s">
        <v>66</v>
      </c>
      <c r="H118" s="114">
        <v>85.4</v>
      </c>
      <c r="I118" s="83">
        <v>3817.66</v>
      </c>
      <c r="J118" s="88">
        <f t="shared" si="19"/>
        <v>44.703278688524584</v>
      </c>
      <c r="K118" s="173" t="s">
        <v>573</v>
      </c>
      <c r="M118" s="63" t="s">
        <v>66</v>
      </c>
      <c r="N118" s="114">
        <v>118.1</v>
      </c>
      <c r="O118" s="80">
        <v>15266.01</v>
      </c>
      <c r="P118" s="88">
        <f t="shared" si="18"/>
        <v>129.26342082980526</v>
      </c>
      <c r="Q118" s="90" t="s">
        <v>342</v>
      </c>
    </row>
    <row r="119" spans="1:17" ht="16.350000000000001" customHeight="1" x14ac:dyDescent="0.2">
      <c r="A119" s="63" t="s">
        <v>56</v>
      </c>
      <c r="B119" s="114">
        <v>100.4</v>
      </c>
      <c r="C119" s="83">
        <v>3691.09</v>
      </c>
      <c r="D119" s="88">
        <f t="shared" si="17"/>
        <v>36.763844621513947</v>
      </c>
      <c r="E119" s="90" t="s">
        <v>583</v>
      </c>
      <c r="G119" s="63" t="s">
        <v>56</v>
      </c>
      <c r="H119" s="114">
        <v>72.5</v>
      </c>
      <c r="I119" s="83">
        <v>2669.31</v>
      </c>
      <c r="J119" s="88">
        <f t="shared" si="19"/>
        <v>36.818068965517242</v>
      </c>
      <c r="K119" s="173" t="s">
        <v>582</v>
      </c>
      <c r="M119" s="63" t="s">
        <v>56</v>
      </c>
      <c r="N119" s="114">
        <v>98.9</v>
      </c>
      <c r="O119" s="80">
        <v>14154.81</v>
      </c>
      <c r="P119" s="88">
        <f t="shared" si="18"/>
        <v>143.12244691607683</v>
      </c>
      <c r="Q119" s="90" t="s">
        <v>454</v>
      </c>
    </row>
    <row r="120" spans="1:17" ht="16.350000000000001" customHeight="1" x14ac:dyDescent="0.2">
      <c r="A120" s="102" t="s">
        <v>59</v>
      </c>
      <c r="B120" s="115">
        <v>107.5</v>
      </c>
      <c r="C120" s="131">
        <v>3824.98</v>
      </c>
      <c r="D120" s="72">
        <f t="shared" si="17"/>
        <v>35.581209302325583</v>
      </c>
      <c r="E120" s="95" t="s">
        <v>581</v>
      </c>
      <c r="G120" s="102" t="s">
        <v>59</v>
      </c>
      <c r="H120" s="115">
        <v>60.6</v>
      </c>
      <c r="I120" s="131">
        <v>2556.23</v>
      </c>
      <c r="J120" s="72">
        <f>I120/H120</f>
        <v>42.182013201320132</v>
      </c>
      <c r="K120" s="175" t="s">
        <v>581</v>
      </c>
      <c r="M120" s="102" t="s">
        <v>59</v>
      </c>
      <c r="N120" s="115">
        <v>86.7</v>
      </c>
      <c r="O120" s="70">
        <v>11632.69</v>
      </c>
      <c r="P120" s="72">
        <f t="shared" si="18"/>
        <v>134.17174163783162</v>
      </c>
      <c r="Q120" s="95" t="s">
        <v>584</v>
      </c>
    </row>
    <row r="121" spans="1:17" ht="16.350000000000001" customHeight="1" x14ac:dyDescent="0.35">
      <c r="A121" s="63" t="s">
        <v>30</v>
      </c>
      <c r="B121" s="134">
        <f>SUM(B109:B120)</f>
        <v>1951.6999999999998</v>
      </c>
      <c r="C121" s="134">
        <f>SUM(C109:C120)</f>
        <v>70594.53</v>
      </c>
      <c r="D121" s="88">
        <f>C121/SUM(B109:B120)</f>
        <v>36.170789568068869</v>
      </c>
      <c r="E121" s="140"/>
      <c r="G121" s="63" t="s">
        <v>30</v>
      </c>
      <c r="H121" s="116">
        <f>SUM(H109:H120)</f>
        <v>1227.4000000000001</v>
      </c>
      <c r="I121" s="84">
        <f>SUM(I109:I120)</f>
        <v>35518.87000000001</v>
      </c>
      <c r="J121" s="88">
        <f>I121/SUM(H109:H120)</f>
        <v>28.938300472543595</v>
      </c>
      <c r="K121" s="119"/>
      <c r="M121" s="63" t="s">
        <v>30</v>
      </c>
      <c r="N121" s="134">
        <f>SUM(N109:N120)</f>
        <v>1519.1950000000002</v>
      </c>
      <c r="O121" s="84">
        <f>SUM(O109:O120)</f>
        <v>189521.58000000002</v>
      </c>
      <c r="P121" s="88">
        <f>O121/SUM(N109:N120)</f>
        <v>124.75131895510451</v>
      </c>
      <c r="Q121" s="86"/>
    </row>
    <row r="122" spans="1:17" ht="16.350000000000001" customHeight="1" x14ac:dyDescent="0.25">
      <c r="C122" s="68"/>
      <c r="E122" s="47"/>
    </row>
    <row r="124" spans="1:17" ht="16.350000000000001" customHeight="1" x14ac:dyDescent="0.25">
      <c r="A124" s="59"/>
      <c r="B124" s="81"/>
      <c r="C124" s="77">
        <v>2005</v>
      </c>
      <c r="D124" s="87"/>
      <c r="E124" s="86"/>
      <c r="G124" s="59"/>
      <c r="H124" s="81"/>
      <c r="I124" s="77">
        <v>2005</v>
      </c>
      <c r="J124" s="28"/>
      <c r="K124" s="86"/>
      <c r="M124" s="59"/>
      <c r="N124" s="81"/>
      <c r="O124" s="77">
        <v>2005</v>
      </c>
      <c r="P124" s="28"/>
      <c r="Q124" s="86"/>
    </row>
    <row r="125" spans="1:17" ht="16.350000000000001" customHeight="1" x14ac:dyDescent="0.2">
      <c r="A125" s="101"/>
      <c r="B125" s="23" t="s">
        <v>850</v>
      </c>
      <c r="C125" s="23" t="s">
        <v>848</v>
      </c>
      <c r="D125" s="688" t="s">
        <v>106</v>
      </c>
      <c r="E125" s="100"/>
      <c r="G125" s="120"/>
      <c r="H125" s="23" t="s">
        <v>850</v>
      </c>
      <c r="I125" s="23" t="s">
        <v>848</v>
      </c>
      <c r="J125" s="23" t="s">
        <v>106</v>
      </c>
      <c r="K125" s="100"/>
      <c r="M125" s="101"/>
      <c r="N125" s="23" t="s">
        <v>850</v>
      </c>
      <c r="O125" s="23" t="s">
        <v>848</v>
      </c>
      <c r="P125" s="23" t="s">
        <v>106</v>
      </c>
      <c r="Q125" s="100"/>
    </row>
    <row r="126" spans="1:17" ht="16.350000000000001" customHeight="1" x14ac:dyDescent="0.2">
      <c r="A126" s="63" t="s">
        <v>54</v>
      </c>
      <c r="B126" s="87">
        <v>65.900000000000006</v>
      </c>
      <c r="C126" s="83">
        <v>3857</v>
      </c>
      <c r="D126" s="375">
        <f t="shared" ref="D126:D137" si="20">C126/B126</f>
        <v>58.52807283763277</v>
      </c>
      <c r="E126" s="90" t="s">
        <v>587</v>
      </c>
      <c r="G126" s="63" t="s">
        <v>54</v>
      </c>
      <c r="H126" s="82">
        <v>32.799999999999997</v>
      </c>
      <c r="I126" s="83">
        <v>2077.19</v>
      </c>
      <c r="J126" s="88">
        <f>I126/H126</f>
        <v>63.328963414634153</v>
      </c>
      <c r="K126" s="174" t="s">
        <v>588</v>
      </c>
      <c r="M126" s="63" t="s">
        <v>54</v>
      </c>
      <c r="N126" s="114">
        <v>52.6</v>
      </c>
      <c r="O126" s="83">
        <v>7833.67</v>
      </c>
      <c r="P126" s="375">
        <f t="shared" ref="P126:P137" si="21">O126/N126</f>
        <v>148.92908745247149</v>
      </c>
      <c r="Q126" s="90" t="s">
        <v>413</v>
      </c>
    </row>
    <row r="127" spans="1:17" ht="16.350000000000001" customHeight="1" x14ac:dyDescent="0.2">
      <c r="A127" s="63" t="s">
        <v>55</v>
      </c>
      <c r="B127" s="87">
        <v>59.5</v>
      </c>
      <c r="C127" s="80">
        <v>3859.08</v>
      </c>
      <c r="D127" s="375">
        <f t="shared" si="20"/>
        <v>64.858487394957976</v>
      </c>
      <c r="E127" s="90" t="s">
        <v>591</v>
      </c>
      <c r="G127" s="63" t="s">
        <v>55</v>
      </c>
      <c r="H127" s="82">
        <v>39.700000000000003</v>
      </c>
      <c r="I127" s="83">
        <v>1840.38</v>
      </c>
      <c r="J127" s="375">
        <f t="shared" ref="J127:J137" si="22">I127/H127</f>
        <v>46.357178841309825</v>
      </c>
      <c r="K127" s="173" t="s">
        <v>592</v>
      </c>
      <c r="M127" s="63" t="s">
        <v>55</v>
      </c>
      <c r="N127" s="114">
        <v>56.734999999999999</v>
      </c>
      <c r="O127" s="83">
        <v>9310.3799999999992</v>
      </c>
      <c r="P127" s="375">
        <f t="shared" si="21"/>
        <v>164.10293469639552</v>
      </c>
      <c r="Q127" s="90" t="s">
        <v>595</v>
      </c>
    </row>
    <row r="128" spans="1:17" ht="16.350000000000001" customHeight="1" x14ac:dyDescent="0.2">
      <c r="A128" s="63" t="s">
        <v>58</v>
      </c>
      <c r="B128" s="87">
        <v>76.900000000000006</v>
      </c>
      <c r="C128" s="83">
        <v>3688.08</v>
      </c>
      <c r="D128" s="375">
        <f t="shared" si="20"/>
        <v>47.959427828348502</v>
      </c>
      <c r="E128" s="90" t="s">
        <v>593</v>
      </c>
      <c r="G128" s="63" t="s">
        <v>58</v>
      </c>
      <c r="H128" s="171">
        <v>40.4</v>
      </c>
      <c r="I128" s="83">
        <v>1582.87</v>
      </c>
      <c r="J128" s="375">
        <f t="shared" si="22"/>
        <v>39.179950495049503</v>
      </c>
      <c r="K128" s="173" t="s">
        <v>594</v>
      </c>
      <c r="M128" s="63" t="s">
        <v>58</v>
      </c>
      <c r="N128" s="114">
        <v>57.1</v>
      </c>
      <c r="O128" s="83">
        <v>7712.13</v>
      </c>
      <c r="P128" s="375">
        <f t="shared" si="21"/>
        <v>135.06357267950963</v>
      </c>
      <c r="Q128" s="132" t="s">
        <v>597</v>
      </c>
    </row>
    <row r="129" spans="1:17" ht="16.350000000000001" customHeight="1" x14ac:dyDescent="0.2">
      <c r="A129" s="63" t="s">
        <v>61</v>
      </c>
      <c r="B129" s="114">
        <v>102.9</v>
      </c>
      <c r="C129" s="83">
        <v>3685.83</v>
      </c>
      <c r="D129" s="375">
        <f t="shared" si="20"/>
        <v>35.819533527696791</v>
      </c>
      <c r="E129" s="90" t="s">
        <v>373</v>
      </c>
      <c r="G129" s="63" t="s">
        <v>61</v>
      </c>
      <c r="H129" s="171">
        <v>100.8</v>
      </c>
      <c r="I129" s="83">
        <v>2413.98</v>
      </c>
      <c r="J129" s="375">
        <f t="shared" si="22"/>
        <v>23.948214285714286</v>
      </c>
      <c r="K129" s="173" t="s">
        <v>422</v>
      </c>
      <c r="M129" s="63" t="s">
        <v>61</v>
      </c>
      <c r="N129" s="114">
        <v>121.1</v>
      </c>
      <c r="O129" s="83">
        <v>13438.29</v>
      </c>
      <c r="P129" s="375">
        <f t="shared" si="21"/>
        <v>110.96853839801818</v>
      </c>
      <c r="Q129" s="90" t="s">
        <v>484</v>
      </c>
    </row>
    <row r="130" spans="1:17" ht="16.350000000000001" customHeight="1" x14ac:dyDescent="0.2">
      <c r="A130" s="63" t="s">
        <v>63</v>
      </c>
      <c r="B130" s="114">
        <v>195.1</v>
      </c>
      <c r="C130" s="83">
        <v>6224.98</v>
      </c>
      <c r="D130" s="375">
        <f t="shared" si="20"/>
        <v>31.906611993849307</v>
      </c>
      <c r="E130" s="132" t="s">
        <v>599</v>
      </c>
      <c r="G130" s="63" t="s">
        <v>63</v>
      </c>
      <c r="H130" s="171">
        <v>115</v>
      </c>
      <c r="I130" s="83">
        <v>2629.55</v>
      </c>
      <c r="J130" s="375">
        <f t="shared" si="22"/>
        <v>22.865652173913045</v>
      </c>
      <c r="K130" s="173" t="s">
        <v>278</v>
      </c>
      <c r="M130" s="63" t="s">
        <v>63</v>
      </c>
      <c r="N130" s="114">
        <v>129.1</v>
      </c>
      <c r="O130" s="83">
        <v>13910.23</v>
      </c>
      <c r="P130" s="375">
        <f t="shared" si="21"/>
        <v>107.74771494965144</v>
      </c>
      <c r="Q130" s="90" t="s">
        <v>598</v>
      </c>
    </row>
    <row r="131" spans="1:17" ht="16.350000000000001" customHeight="1" x14ac:dyDescent="0.2">
      <c r="A131" s="63" t="s">
        <v>65</v>
      </c>
      <c r="B131" s="114">
        <v>244.2</v>
      </c>
      <c r="C131" s="83">
        <v>7992.19</v>
      </c>
      <c r="D131" s="375">
        <f t="shared" si="20"/>
        <v>32.728050778050779</v>
      </c>
      <c r="E131" s="90" t="s">
        <v>425</v>
      </c>
      <c r="G131" s="63" t="s">
        <v>65</v>
      </c>
      <c r="H131" s="114">
        <v>126.6</v>
      </c>
      <c r="I131" s="83">
        <v>3677.95</v>
      </c>
      <c r="J131" s="88">
        <f t="shared" si="22"/>
        <v>29.051737756714061</v>
      </c>
      <c r="K131" s="173" t="s">
        <v>600</v>
      </c>
      <c r="M131" s="63" t="s">
        <v>65</v>
      </c>
      <c r="N131" s="114">
        <v>141.6</v>
      </c>
      <c r="O131" s="80">
        <v>14989.89</v>
      </c>
      <c r="P131" s="375">
        <f t="shared" si="21"/>
        <v>105.86080508474576</v>
      </c>
      <c r="Q131" s="90" t="s">
        <v>601</v>
      </c>
    </row>
    <row r="132" spans="1:17" ht="16.350000000000001" customHeight="1" x14ac:dyDescent="0.2">
      <c r="A132" s="63" t="s">
        <v>67</v>
      </c>
      <c r="B132" s="114">
        <v>291.3</v>
      </c>
      <c r="C132" s="83">
        <v>15736.85</v>
      </c>
      <c r="D132" s="375">
        <f t="shared" si="20"/>
        <v>54.022828698935804</v>
      </c>
      <c r="E132" s="90" t="s">
        <v>428</v>
      </c>
      <c r="G132" s="63" t="s">
        <v>67</v>
      </c>
      <c r="H132" s="114">
        <v>187.4</v>
      </c>
      <c r="I132" s="83">
        <v>3554.47</v>
      </c>
      <c r="J132" s="88">
        <f t="shared" si="22"/>
        <v>18.96728922091782</v>
      </c>
      <c r="K132" s="173" t="s">
        <v>428</v>
      </c>
      <c r="M132" s="63" t="s">
        <v>67</v>
      </c>
      <c r="N132" s="114">
        <v>198.5</v>
      </c>
      <c r="O132" s="80">
        <v>21206.99</v>
      </c>
      <c r="P132" s="375">
        <f t="shared" si="21"/>
        <v>106.83622166246852</v>
      </c>
      <c r="Q132" s="90" t="s">
        <v>602</v>
      </c>
    </row>
    <row r="133" spans="1:17" ht="16.350000000000001" customHeight="1" x14ac:dyDescent="0.2">
      <c r="A133" s="63" t="s">
        <v>62</v>
      </c>
      <c r="B133" s="114">
        <v>283.8</v>
      </c>
      <c r="C133" s="83">
        <v>15737.14</v>
      </c>
      <c r="D133" s="375">
        <f t="shared" si="20"/>
        <v>55.451515151515146</v>
      </c>
      <c r="E133" s="90" t="s">
        <v>498</v>
      </c>
      <c r="G133" s="63" t="s">
        <v>62</v>
      </c>
      <c r="H133" s="114">
        <v>165</v>
      </c>
      <c r="I133" s="83">
        <v>3863.16</v>
      </c>
      <c r="J133" s="88">
        <f t="shared" si="22"/>
        <v>23.413090909090908</v>
      </c>
      <c r="K133" s="173" t="s">
        <v>498</v>
      </c>
      <c r="M133" s="63" t="s">
        <v>62</v>
      </c>
      <c r="N133" s="114">
        <v>166.1</v>
      </c>
      <c r="O133" s="80">
        <v>20809.48</v>
      </c>
      <c r="P133" s="375">
        <f t="shared" si="21"/>
        <v>125.28284166164961</v>
      </c>
      <c r="Q133" s="90" t="s">
        <v>312</v>
      </c>
    </row>
    <row r="134" spans="1:17" ht="16.350000000000001" customHeight="1" x14ac:dyDescent="0.2">
      <c r="A134" s="63" t="s">
        <v>64</v>
      </c>
      <c r="B134" s="114">
        <v>243.2</v>
      </c>
      <c r="C134" s="83">
        <v>10787.76</v>
      </c>
      <c r="D134" s="375">
        <f t="shared" si="20"/>
        <v>44.357565789473689</v>
      </c>
      <c r="E134" s="90" t="s">
        <v>603</v>
      </c>
      <c r="G134" s="63" t="s">
        <v>64</v>
      </c>
      <c r="H134" s="114">
        <v>139.6</v>
      </c>
      <c r="I134" s="83">
        <v>3887.84</v>
      </c>
      <c r="J134" s="88">
        <f t="shared" si="22"/>
        <v>27.849856733524359</v>
      </c>
      <c r="K134" s="173" t="s">
        <v>603</v>
      </c>
      <c r="M134" s="63" t="s">
        <v>64</v>
      </c>
      <c r="N134" s="114">
        <v>130.19999999999999</v>
      </c>
      <c r="O134" s="80">
        <v>13180.71</v>
      </c>
      <c r="P134" s="375">
        <f t="shared" si="21"/>
        <v>101.23433179723503</v>
      </c>
      <c r="Q134" s="90" t="s">
        <v>320</v>
      </c>
    </row>
    <row r="135" spans="1:17" ht="16.350000000000001" customHeight="1" x14ac:dyDescent="0.2">
      <c r="A135" s="63" t="s">
        <v>66</v>
      </c>
      <c r="B135" s="114">
        <v>185.3</v>
      </c>
      <c r="C135" s="83">
        <v>9611.1200000000008</v>
      </c>
      <c r="D135" s="375">
        <f t="shared" si="20"/>
        <v>51.867889908256885</v>
      </c>
      <c r="E135" s="352" t="s">
        <v>604</v>
      </c>
      <c r="G135" s="63" t="s">
        <v>66</v>
      </c>
      <c r="H135" s="114">
        <v>108.3</v>
      </c>
      <c r="I135" s="83">
        <v>3631.71</v>
      </c>
      <c r="J135" s="88">
        <f t="shared" si="22"/>
        <v>33.533795013850416</v>
      </c>
      <c r="K135" s="173" t="s">
        <v>604</v>
      </c>
      <c r="M135" s="63" t="s">
        <v>66</v>
      </c>
      <c r="N135" s="114">
        <v>146.5</v>
      </c>
      <c r="O135" s="80">
        <v>16371.41</v>
      </c>
      <c r="P135" s="375">
        <f t="shared" si="21"/>
        <v>111.75023890784983</v>
      </c>
      <c r="Q135" s="90" t="s">
        <v>342</v>
      </c>
    </row>
    <row r="136" spans="1:17" ht="16.350000000000001" customHeight="1" x14ac:dyDescent="0.2">
      <c r="A136" s="63" t="s">
        <v>56</v>
      </c>
      <c r="B136" s="114">
        <v>155.4</v>
      </c>
      <c r="C136" s="83">
        <v>5111.2299999999996</v>
      </c>
      <c r="D136" s="375">
        <f t="shared" si="20"/>
        <v>32.890797940797938</v>
      </c>
      <c r="E136" s="90" t="s">
        <v>607</v>
      </c>
      <c r="G136" s="63" t="s">
        <v>56</v>
      </c>
      <c r="H136" s="114">
        <v>94.3</v>
      </c>
      <c r="I136" s="83">
        <v>2553.67</v>
      </c>
      <c r="J136" s="88">
        <f t="shared" si="22"/>
        <v>27.080275715800639</v>
      </c>
      <c r="K136" s="173" t="s">
        <v>612</v>
      </c>
      <c r="M136" s="63" t="s">
        <v>56</v>
      </c>
      <c r="N136" s="114">
        <v>103.8</v>
      </c>
      <c r="O136" s="80">
        <v>11573.33</v>
      </c>
      <c r="P136" s="375">
        <f t="shared" si="21"/>
        <v>111.49643545279383</v>
      </c>
      <c r="Q136" s="90" t="s">
        <v>404</v>
      </c>
    </row>
    <row r="137" spans="1:17" ht="16.350000000000001" customHeight="1" x14ac:dyDescent="0.2">
      <c r="A137" s="102" t="s">
        <v>59</v>
      </c>
      <c r="B137" s="115">
        <v>132.19999999999999</v>
      </c>
      <c r="C137" s="131">
        <v>5819.63</v>
      </c>
      <c r="D137" s="376">
        <f t="shared" si="20"/>
        <v>44.021406959152806</v>
      </c>
      <c r="E137" s="95" t="s">
        <v>611</v>
      </c>
      <c r="G137" s="102" t="s">
        <v>59</v>
      </c>
      <c r="H137" s="115">
        <v>74.8</v>
      </c>
      <c r="I137" s="131">
        <v>2611.7800000000002</v>
      </c>
      <c r="J137" s="72">
        <f t="shared" si="22"/>
        <v>34.916844919786101</v>
      </c>
      <c r="K137" s="175" t="s">
        <v>613</v>
      </c>
      <c r="M137" s="102" t="s">
        <v>59</v>
      </c>
      <c r="N137" s="115">
        <v>113.7</v>
      </c>
      <c r="O137" s="70">
        <v>12064.47</v>
      </c>
      <c r="P137" s="72">
        <f t="shared" si="21"/>
        <v>106.10791556728232</v>
      </c>
      <c r="Q137" s="95" t="s">
        <v>362</v>
      </c>
    </row>
    <row r="138" spans="1:17" ht="16.350000000000001" customHeight="1" x14ac:dyDescent="0.35">
      <c r="A138" s="63" t="s">
        <v>30</v>
      </c>
      <c r="B138" s="134">
        <f>SUM(B126:B137)</f>
        <v>2035.7</v>
      </c>
      <c r="C138" s="84">
        <f>SUM(C126:C137)</f>
        <v>92110.89</v>
      </c>
      <c r="D138" s="84">
        <f>C138/SUM(B126:B137)</f>
        <v>45.247772265068527</v>
      </c>
      <c r="E138" s="140"/>
      <c r="G138" s="63" t="s">
        <v>30</v>
      </c>
      <c r="H138" s="116">
        <f>SUM(H126:H137)</f>
        <v>1224.6999999999998</v>
      </c>
      <c r="I138" s="84">
        <f>SUM(I126:I137)</f>
        <v>34324.550000000003</v>
      </c>
      <c r="J138" s="88">
        <f>I138/SUM(H126:H137)</f>
        <v>28.026904548052592</v>
      </c>
      <c r="K138" s="119"/>
      <c r="M138" s="63" t="s">
        <v>30</v>
      </c>
      <c r="N138" s="134">
        <f>SUM(N126:N137)</f>
        <v>1417.0350000000001</v>
      </c>
      <c r="O138" s="84">
        <f>SUM(O126:O137)</f>
        <v>162400.97999999998</v>
      </c>
      <c r="P138" s="84">
        <f>O138/N138</f>
        <v>114.60618827340184</v>
      </c>
      <c r="Q138" s="86"/>
    </row>
    <row r="139" spans="1:17" ht="16.350000000000001" customHeight="1" x14ac:dyDescent="0.2">
      <c r="A139" s="81" t="s">
        <v>608</v>
      </c>
      <c r="B139" s="81">
        <f>SUM(B126:B137)</f>
        <v>2035.7</v>
      </c>
      <c r="C139" s="65">
        <f>C138-13672.44</f>
        <v>78438.45</v>
      </c>
      <c r="D139" s="88">
        <f>C139/B139</f>
        <v>38.531438817114505</v>
      </c>
      <c r="E139" s="28"/>
    </row>
    <row r="140" spans="1:17" ht="16.350000000000001" customHeight="1" x14ac:dyDescent="0.2">
      <c r="A140" s="28" t="s">
        <v>649</v>
      </c>
      <c r="B140" s="28"/>
      <c r="C140" s="28"/>
      <c r="D140" s="87"/>
    </row>
    <row r="142" spans="1:17" ht="16.350000000000001" customHeight="1" x14ac:dyDescent="0.25">
      <c r="A142" s="59"/>
      <c r="B142" s="81"/>
      <c r="C142" s="77">
        <v>2006</v>
      </c>
      <c r="D142" s="87"/>
      <c r="E142" s="86"/>
      <c r="G142" s="59"/>
      <c r="H142" s="81"/>
      <c r="I142" s="77">
        <v>2006</v>
      </c>
      <c r="J142" s="28"/>
      <c r="K142" s="86"/>
      <c r="M142" s="59"/>
      <c r="N142" s="81"/>
      <c r="O142" s="77">
        <v>2006</v>
      </c>
      <c r="P142" s="28"/>
      <c r="Q142" s="86"/>
    </row>
    <row r="143" spans="1:17" ht="16.350000000000001" customHeight="1" x14ac:dyDescent="0.2">
      <c r="A143" s="101"/>
      <c r="B143" s="23" t="s">
        <v>850</v>
      </c>
      <c r="C143" s="23" t="s">
        <v>848</v>
      </c>
      <c r="D143" s="688" t="s">
        <v>106</v>
      </c>
      <c r="E143" s="100"/>
      <c r="G143" s="120"/>
      <c r="H143" s="23" t="s">
        <v>850</v>
      </c>
      <c r="I143" s="23" t="s">
        <v>848</v>
      </c>
      <c r="J143" s="23" t="s">
        <v>106</v>
      </c>
      <c r="K143" s="100"/>
      <c r="M143" s="101"/>
      <c r="N143" s="23" t="s">
        <v>850</v>
      </c>
      <c r="O143" s="23" t="s">
        <v>848</v>
      </c>
      <c r="P143" s="23" t="s">
        <v>106</v>
      </c>
      <c r="Q143" s="100"/>
    </row>
    <row r="144" spans="1:17" ht="16.350000000000001" customHeight="1" x14ac:dyDescent="0.2">
      <c r="A144" s="63" t="s">
        <v>54</v>
      </c>
      <c r="B144" s="87">
        <v>135.30000000000001</v>
      </c>
      <c r="C144" s="83">
        <v>4449.53</v>
      </c>
      <c r="D144" s="375">
        <f t="shared" ref="D144:D155" si="23">C144/B144</f>
        <v>32.886400591278637</v>
      </c>
      <c r="E144" s="90" t="s">
        <v>647</v>
      </c>
      <c r="G144" s="63" t="s">
        <v>54</v>
      </c>
      <c r="H144" s="82">
        <v>57</v>
      </c>
      <c r="I144" s="83">
        <v>2201.2399999999998</v>
      </c>
      <c r="J144" s="88">
        <f>I144/H144</f>
        <v>38.618245614035082</v>
      </c>
      <c r="K144" s="174" t="s">
        <v>648</v>
      </c>
      <c r="M144" s="63" t="s">
        <v>54</v>
      </c>
      <c r="N144" s="114">
        <v>80</v>
      </c>
      <c r="O144" s="83">
        <v>10719.39</v>
      </c>
      <c r="P144" s="375">
        <f t="shared" ref="P144:P155" si="24">O144/N144</f>
        <v>133.99237499999998</v>
      </c>
      <c r="Q144" s="90" t="s">
        <v>413</v>
      </c>
    </row>
    <row r="145" spans="1:17" ht="16.350000000000001" customHeight="1" x14ac:dyDescent="0.2">
      <c r="A145" s="63" t="s">
        <v>55</v>
      </c>
      <c r="B145" s="87">
        <v>195.8</v>
      </c>
      <c r="C145" s="80">
        <v>6749.07</v>
      </c>
      <c r="D145" s="375">
        <f t="shared" si="23"/>
        <v>34.469203268641465</v>
      </c>
      <c r="E145" s="90" t="s">
        <v>410</v>
      </c>
      <c r="G145" s="63" t="s">
        <v>55</v>
      </c>
      <c r="H145" s="82">
        <v>71.599999999999994</v>
      </c>
      <c r="I145" s="83">
        <v>2380.81</v>
      </c>
      <c r="J145" s="375">
        <f t="shared" ref="J145:J155" si="25">I145/H145</f>
        <v>33.251536312849161</v>
      </c>
      <c r="K145" s="173" t="s">
        <v>591</v>
      </c>
      <c r="M145" s="63" t="s">
        <v>55</v>
      </c>
      <c r="N145" s="114">
        <v>92.1</v>
      </c>
      <c r="O145" s="83">
        <v>12529.45</v>
      </c>
      <c r="P145" s="375">
        <f t="shared" si="24"/>
        <v>136.04180238870794</v>
      </c>
      <c r="Q145" s="90" t="s">
        <v>653</v>
      </c>
    </row>
    <row r="146" spans="1:17" ht="16.350000000000001" customHeight="1" x14ac:dyDescent="0.2">
      <c r="A146" s="63" t="s">
        <v>58</v>
      </c>
      <c r="B146" s="87">
        <v>116.1</v>
      </c>
      <c r="C146" s="83">
        <v>6326.94</v>
      </c>
      <c r="D146" s="375">
        <f t="shared" si="23"/>
        <v>54.495607235142117</v>
      </c>
      <c r="E146" s="90" t="s">
        <v>593</v>
      </c>
      <c r="G146" s="63" t="s">
        <v>58</v>
      </c>
      <c r="H146" s="171">
        <v>43.7</v>
      </c>
      <c r="I146" s="83">
        <v>2174.56</v>
      </c>
      <c r="J146" s="375">
        <f t="shared" si="25"/>
        <v>49.761098398169331</v>
      </c>
      <c r="K146" s="173" t="s">
        <v>593</v>
      </c>
      <c r="M146" s="63" t="s">
        <v>58</v>
      </c>
      <c r="N146" s="114">
        <v>67.16</v>
      </c>
      <c r="O146" s="83">
        <v>7894.39</v>
      </c>
      <c r="P146" s="375">
        <f t="shared" si="24"/>
        <v>117.54600952948185</v>
      </c>
      <c r="Q146" s="132" t="s">
        <v>597</v>
      </c>
    </row>
    <row r="147" spans="1:17" ht="16.350000000000001" customHeight="1" x14ac:dyDescent="0.2">
      <c r="A147" s="63" t="s">
        <v>61</v>
      </c>
      <c r="B147" s="114">
        <v>61.1</v>
      </c>
      <c r="C147" s="83">
        <v>4095.55</v>
      </c>
      <c r="D147" s="375">
        <f t="shared" si="23"/>
        <v>67.030278232405891</v>
      </c>
      <c r="E147" s="90" t="s">
        <v>373</v>
      </c>
      <c r="G147" s="63" t="s">
        <v>61</v>
      </c>
      <c r="H147" s="171">
        <v>52.7</v>
      </c>
      <c r="I147" s="83">
        <v>1848.8</v>
      </c>
      <c r="J147" s="375">
        <f t="shared" si="25"/>
        <v>35.081593927893735</v>
      </c>
      <c r="K147" s="173" t="s">
        <v>273</v>
      </c>
      <c r="M147" s="63" t="s">
        <v>61</v>
      </c>
      <c r="N147" s="114">
        <v>85.73</v>
      </c>
      <c r="O147" s="83">
        <v>9790.93</v>
      </c>
      <c r="P147" s="375">
        <f t="shared" si="24"/>
        <v>114.20657879388779</v>
      </c>
      <c r="Q147" s="90" t="s">
        <v>688</v>
      </c>
    </row>
    <row r="148" spans="1:17" ht="16.350000000000001" customHeight="1" x14ac:dyDescent="0.2">
      <c r="A148" s="63" t="s">
        <v>63</v>
      </c>
      <c r="B148" s="114">
        <v>142.6</v>
      </c>
      <c r="C148" s="83">
        <v>4742.62</v>
      </c>
      <c r="D148" s="375">
        <f t="shared" si="23"/>
        <v>33.258204768583454</v>
      </c>
      <c r="E148" s="132" t="s">
        <v>487</v>
      </c>
      <c r="G148" s="63" t="s">
        <v>63</v>
      </c>
      <c r="H148" s="171">
        <v>112.2</v>
      </c>
      <c r="I148" s="83">
        <v>2439.5300000000002</v>
      </c>
      <c r="J148" s="375">
        <f t="shared" si="25"/>
        <v>21.742691622103386</v>
      </c>
      <c r="K148" s="173" t="s">
        <v>278</v>
      </c>
      <c r="M148" s="63" t="s">
        <v>63</v>
      </c>
      <c r="N148" s="114">
        <v>115.7</v>
      </c>
      <c r="O148" s="83">
        <v>14118.28</v>
      </c>
      <c r="P148" s="88">
        <f t="shared" si="24"/>
        <v>122.02489196197061</v>
      </c>
      <c r="Q148" s="90" t="s">
        <v>280</v>
      </c>
    </row>
    <row r="149" spans="1:17" ht="16.350000000000001" customHeight="1" x14ac:dyDescent="0.2">
      <c r="A149" s="63" t="s">
        <v>65</v>
      </c>
      <c r="B149" s="114">
        <v>237.4</v>
      </c>
      <c r="C149" s="83">
        <v>7693.48</v>
      </c>
      <c r="D149" s="375">
        <f t="shared" si="23"/>
        <v>32.407245155855094</v>
      </c>
      <c r="E149" s="90" t="s">
        <v>683</v>
      </c>
      <c r="G149" s="63" t="s">
        <v>65</v>
      </c>
      <c r="H149" s="114">
        <v>154.30000000000001</v>
      </c>
      <c r="I149" s="83">
        <v>3974.7</v>
      </c>
      <c r="J149" s="88">
        <f t="shared" si="25"/>
        <v>25.759559300064804</v>
      </c>
      <c r="K149" s="173" t="s">
        <v>380</v>
      </c>
      <c r="M149" s="63" t="s">
        <v>65</v>
      </c>
      <c r="N149" s="114">
        <v>148.9</v>
      </c>
      <c r="O149" s="80">
        <v>19341.98</v>
      </c>
      <c r="P149" s="88">
        <f t="shared" si="24"/>
        <v>129.89912693082604</v>
      </c>
      <c r="Q149" s="90" t="s">
        <v>690</v>
      </c>
    </row>
    <row r="150" spans="1:17" ht="16.350000000000001" customHeight="1" x14ac:dyDescent="0.2">
      <c r="A150" s="63" t="s">
        <v>67</v>
      </c>
      <c r="B150" s="114">
        <v>293</v>
      </c>
      <c r="C150" s="83">
        <v>12104.45</v>
      </c>
      <c r="D150" s="375">
        <f t="shared" si="23"/>
        <v>41.312116040955637</v>
      </c>
      <c r="E150" s="90" t="s">
        <v>684</v>
      </c>
      <c r="G150" s="63" t="s">
        <v>67</v>
      </c>
      <c r="H150" s="114">
        <v>192.7</v>
      </c>
      <c r="I150" s="83">
        <v>8148.12</v>
      </c>
      <c r="J150" s="88">
        <f t="shared" si="25"/>
        <v>42.283964711987551</v>
      </c>
      <c r="K150" s="173" t="s">
        <v>685</v>
      </c>
      <c r="M150" s="63" t="s">
        <v>67</v>
      </c>
      <c r="N150" s="114">
        <v>193.9</v>
      </c>
      <c r="O150" s="80">
        <v>46389.87</v>
      </c>
      <c r="P150" s="88">
        <f t="shared" si="24"/>
        <v>239.24636410520887</v>
      </c>
      <c r="Q150" s="90" t="s">
        <v>689</v>
      </c>
    </row>
    <row r="151" spans="1:17" ht="16.350000000000001" customHeight="1" x14ac:dyDescent="0.2">
      <c r="A151" s="63" t="s">
        <v>62</v>
      </c>
      <c r="B151" s="114">
        <v>257.5</v>
      </c>
      <c r="C151" s="83">
        <v>12683.87</v>
      </c>
      <c r="D151" s="375">
        <f t="shared" si="23"/>
        <v>49.257747572815539</v>
      </c>
      <c r="E151" s="90" t="s">
        <v>498</v>
      </c>
      <c r="G151" s="63" t="s">
        <v>62</v>
      </c>
      <c r="H151" s="114">
        <v>180.8</v>
      </c>
      <c r="I151" s="83">
        <v>5467.4</v>
      </c>
      <c r="J151" s="88">
        <f t="shared" si="25"/>
        <v>30.240044247787608</v>
      </c>
      <c r="K151" s="173" t="s">
        <v>693</v>
      </c>
      <c r="M151" s="63" t="s">
        <v>62</v>
      </c>
      <c r="N151" s="114">
        <v>173.1</v>
      </c>
      <c r="O151" s="80">
        <v>23287.64</v>
      </c>
      <c r="P151" s="88">
        <f t="shared" si="24"/>
        <v>134.53287117273251</v>
      </c>
      <c r="Q151" s="90" t="s">
        <v>691</v>
      </c>
    </row>
    <row r="152" spans="1:17" ht="16.350000000000001" customHeight="1" x14ac:dyDescent="0.2">
      <c r="A152" s="63" t="s">
        <v>64</v>
      </c>
      <c r="B152" s="114">
        <v>250.1</v>
      </c>
      <c r="C152" s="83">
        <v>14151.14</v>
      </c>
      <c r="D152" s="375">
        <f t="shared" si="23"/>
        <v>56.581927229108352</v>
      </c>
      <c r="E152" s="90" t="s">
        <v>697</v>
      </c>
      <c r="G152" s="63" t="s">
        <v>64</v>
      </c>
      <c r="H152" s="114">
        <v>154.19999999999999</v>
      </c>
      <c r="I152" s="83">
        <v>6465.39</v>
      </c>
      <c r="J152" s="88">
        <f t="shared" si="25"/>
        <v>41.928599221789888</v>
      </c>
      <c r="K152" s="173" t="s">
        <v>697</v>
      </c>
      <c r="M152" s="63" t="s">
        <v>64</v>
      </c>
      <c r="N152" s="114">
        <v>176.5</v>
      </c>
      <c r="O152" s="80">
        <v>26210.53</v>
      </c>
      <c r="P152" s="88">
        <f t="shared" si="24"/>
        <v>148.50158640226627</v>
      </c>
      <c r="Q152" s="90" t="s">
        <v>694</v>
      </c>
    </row>
    <row r="153" spans="1:17" ht="16.350000000000001" customHeight="1" x14ac:dyDescent="0.2">
      <c r="A153" s="63" t="s">
        <v>66</v>
      </c>
      <c r="B153" s="114">
        <v>232</v>
      </c>
      <c r="C153" s="83">
        <v>11445.61</v>
      </c>
      <c r="D153" s="375">
        <f t="shared" si="23"/>
        <v>49.334525862068965</v>
      </c>
      <c r="E153" s="352" t="s">
        <v>701</v>
      </c>
      <c r="G153" s="63" t="s">
        <v>66</v>
      </c>
      <c r="H153" s="114">
        <v>132.6</v>
      </c>
      <c r="I153" s="83">
        <v>5197.3</v>
      </c>
      <c r="J153" s="88">
        <f t="shared" si="25"/>
        <v>39.195324283559579</v>
      </c>
      <c r="K153" s="173" t="s">
        <v>390</v>
      </c>
      <c r="M153" s="63" t="s">
        <v>66</v>
      </c>
      <c r="N153" s="114">
        <v>127.7</v>
      </c>
      <c r="O153" s="80">
        <v>23064.38</v>
      </c>
      <c r="P153" s="88">
        <f t="shared" si="24"/>
        <v>180.61378230227095</v>
      </c>
      <c r="Q153" s="90" t="s">
        <v>698</v>
      </c>
    </row>
    <row r="154" spans="1:17" ht="16.350000000000001" customHeight="1" x14ac:dyDescent="0.2">
      <c r="A154" s="63" t="s">
        <v>56</v>
      </c>
      <c r="B154" s="114">
        <v>248.3</v>
      </c>
      <c r="C154" s="83">
        <v>6758.35</v>
      </c>
      <c r="D154" s="375">
        <f t="shared" si="23"/>
        <v>27.218485702778896</v>
      </c>
      <c r="E154" s="90" t="s">
        <v>706</v>
      </c>
      <c r="G154" s="63" t="s">
        <v>56</v>
      </c>
      <c r="H154" s="114">
        <v>103.2</v>
      </c>
      <c r="I154" s="83">
        <v>4422.1400000000003</v>
      </c>
      <c r="J154" s="88">
        <f t="shared" si="25"/>
        <v>42.850193798449617</v>
      </c>
      <c r="K154" s="173" t="s">
        <v>221</v>
      </c>
      <c r="M154" s="63" t="s">
        <v>56</v>
      </c>
      <c r="N154" s="114">
        <v>129.69999999999999</v>
      </c>
      <c r="O154" s="80">
        <v>20450.36</v>
      </c>
      <c r="P154" s="88">
        <f t="shared" si="24"/>
        <v>157.67432536622977</v>
      </c>
      <c r="Q154" s="90" t="s">
        <v>705</v>
      </c>
    </row>
    <row r="155" spans="1:17" ht="16.350000000000001" customHeight="1" x14ac:dyDescent="0.2">
      <c r="A155" s="102" t="s">
        <v>59</v>
      </c>
      <c r="B155" s="115">
        <v>176.5</v>
      </c>
      <c r="C155" s="131">
        <v>6723</v>
      </c>
      <c r="D155" s="376">
        <f t="shared" si="23"/>
        <v>38.090651558073652</v>
      </c>
      <c r="E155" s="383" t="s">
        <v>710</v>
      </c>
      <c r="G155" s="102" t="s">
        <v>59</v>
      </c>
      <c r="H155" s="115">
        <v>77.2</v>
      </c>
      <c r="I155" s="131">
        <v>3762.3</v>
      </c>
      <c r="J155" s="72">
        <f t="shared" si="25"/>
        <v>48.734455958549226</v>
      </c>
      <c r="K155" s="175" t="s">
        <v>711</v>
      </c>
      <c r="M155" s="102" t="s">
        <v>59</v>
      </c>
      <c r="N155" s="115">
        <v>107.3</v>
      </c>
      <c r="O155" s="70">
        <v>16279.65</v>
      </c>
      <c r="P155" s="72">
        <f t="shared" si="24"/>
        <v>151.72087604846226</v>
      </c>
      <c r="Q155" s="95" t="s">
        <v>712</v>
      </c>
    </row>
    <row r="156" spans="1:17" ht="16.350000000000001" customHeight="1" x14ac:dyDescent="0.35">
      <c r="A156" s="63" t="s">
        <v>30</v>
      </c>
      <c r="B156" s="134">
        <f>SUM(B144:B155)</f>
        <v>2345.7000000000003</v>
      </c>
      <c r="C156" s="84">
        <f>SUM(C144:C155)</f>
        <v>97923.61</v>
      </c>
      <c r="D156" s="84">
        <f>C156/SUM(B144:B155)</f>
        <v>41.746007588353152</v>
      </c>
      <c r="E156" s="140"/>
      <c r="G156" s="63" t="s">
        <v>30</v>
      </c>
      <c r="H156" s="116">
        <f>SUM(H144:H155)</f>
        <v>1332.2</v>
      </c>
      <c r="I156" s="84">
        <f>SUM(I144:I155)</f>
        <v>48482.29</v>
      </c>
      <c r="J156" s="88">
        <f>I156/SUM(H144:H154)</f>
        <v>38.631306772908367</v>
      </c>
      <c r="K156" s="119"/>
      <c r="M156" s="63" t="s">
        <v>30</v>
      </c>
      <c r="N156" s="134">
        <f>SUM(N144:N155)</f>
        <v>1497.7900000000002</v>
      </c>
      <c r="O156" s="84">
        <f>SUM(O144:O155)</f>
        <v>230076.85</v>
      </c>
      <c r="P156" s="84">
        <f>O156/SUM(N144:N155)</f>
        <v>153.61088670641411</v>
      </c>
      <c r="Q156" s="86"/>
    </row>
    <row r="158" spans="1:17" ht="16.350000000000001" customHeight="1" x14ac:dyDescent="0.25">
      <c r="C158" s="68"/>
    </row>
    <row r="159" spans="1:17" ht="16.350000000000001" customHeight="1" x14ac:dyDescent="0.25">
      <c r="A159" s="59"/>
      <c r="B159" s="81"/>
      <c r="C159" s="77">
        <v>2007</v>
      </c>
      <c r="D159" s="87"/>
      <c r="E159" s="86"/>
      <c r="G159" s="59"/>
      <c r="H159" s="81"/>
      <c r="I159" s="77">
        <v>2007</v>
      </c>
      <c r="J159" s="28"/>
      <c r="K159" s="86"/>
      <c r="M159" s="59"/>
      <c r="N159" s="81"/>
      <c r="O159" s="77">
        <v>2007</v>
      </c>
      <c r="P159" s="28"/>
      <c r="Q159" s="86"/>
    </row>
    <row r="160" spans="1:17" ht="16.350000000000001" customHeight="1" x14ac:dyDescent="0.2">
      <c r="A160" s="101"/>
      <c r="B160" s="23" t="s">
        <v>850</v>
      </c>
      <c r="C160" s="23" t="s">
        <v>848</v>
      </c>
      <c r="D160" s="688" t="s">
        <v>106</v>
      </c>
      <c r="E160" s="100"/>
      <c r="G160" s="120"/>
      <c r="H160" s="23" t="s">
        <v>850</v>
      </c>
      <c r="I160" s="23" t="s">
        <v>848</v>
      </c>
      <c r="J160" s="23" t="s">
        <v>106</v>
      </c>
      <c r="K160" s="100"/>
      <c r="M160" s="101"/>
      <c r="N160" s="23" t="s">
        <v>850</v>
      </c>
      <c r="O160" s="23" t="s">
        <v>848</v>
      </c>
      <c r="P160" s="23" t="s">
        <v>106</v>
      </c>
      <c r="Q160" s="100"/>
    </row>
    <row r="161" spans="1:30" ht="16.350000000000001" customHeight="1" x14ac:dyDescent="0.2">
      <c r="A161" s="63" t="s">
        <v>54</v>
      </c>
      <c r="B161" s="87">
        <v>222.6</v>
      </c>
      <c r="C161" s="83">
        <v>6768.82</v>
      </c>
      <c r="D161" s="88">
        <f t="shared" ref="D161:D172" si="26">C161/B161</f>
        <v>30.407996406109614</v>
      </c>
      <c r="E161" s="413" t="s">
        <v>648</v>
      </c>
      <c r="G161" s="63" t="s">
        <v>54</v>
      </c>
      <c r="H161" s="82">
        <v>84.4</v>
      </c>
      <c r="I161" s="83">
        <v>3066.15</v>
      </c>
      <c r="J161" s="375">
        <f>I161/H161</f>
        <v>36.328791469194314</v>
      </c>
      <c r="K161" s="414" t="s">
        <v>716</v>
      </c>
      <c r="M161" s="63" t="s">
        <v>54</v>
      </c>
      <c r="N161" s="114">
        <v>111.6</v>
      </c>
      <c r="O161" s="83">
        <v>17485.990000000002</v>
      </c>
      <c r="P161" s="375">
        <f t="shared" ref="P161:P172" si="27">O161/N161</f>
        <v>156.68449820788533</v>
      </c>
      <c r="Q161" s="90" t="s">
        <v>724</v>
      </c>
    </row>
    <row r="162" spans="1:30" ht="16.350000000000001" customHeight="1" x14ac:dyDescent="0.2">
      <c r="A162" s="63" t="s">
        <v>55</v>
      </c>
      <c r="B162" s="87">
        <v>76.599999999999994</v>
      </c>
      <c r="C162" s="80">
        <v>6709.59</v>
      </c>
      <c r="D162" s="88">
        <f t="shared" si="26"/>
        <v>87.592558746736302</v>
      </c>
      <c r="E162" s="413" t="s">
        <v>718</v>
      </c>
      <c r="G162" s="63" t="s">
        <v>55</v>
      </c>
      <c r="H162" s="82">
        <v>43.6</v>
      </c>
      <c r="I162" s="83">
        <v>2742.65</v>
      </c>
      <c r="J162" s="375">
        <f t="shared" ref="J162:J172" si="28">I162/H162</f>
        <v>62.904816513761467</v>
      </c>
      <c r="K162" s="89" t="s">
        <v>719</v>
      </c>
      <c r="M162" s="63" t="s">
        <v>55</v>
      </c>
      <c r="N162" s="114">
        <v>62.7</v>
      </c>
      <c r="O162" s="83">
        <v>10575.13</v>
      </c>
      <c r="P162" s="375">
        <f t="shared" si="27"/>
        <v>168.66236044657094</v>
      </c>
      <c r="Q162" s="90" t="s">
        <v>369</v>
      </c>
    </row>
    <row r="163" spans="1:30" ht="16.350000000000001" customHeight="1" x14ac:dyDescent="0.2">
      <c r="A163" s="63" t="s">
        <v>58</v>
      </c>
      <c r="B163" s="87">
        <v>181.2</v>
      </c>
      <c r="C163" s="83">
        <v>6808.16</v>
      </c>
      <c r="D163" s="88">
        <f t="shared" si="26"/>
        <v>37.572626931567328</v>
      </c>
      <c r="E163" s="90" t="s">
        <v>726</v>
      </c>
      <c r="G163" s="63" t="s">
        <v>58</v>
      </c>
      <c r="H163" s="171">
        <v>93.1</v>
      </c>
      <c r="I163" s="83">
        <v>2833.55</v>
      </c>
      <c r="J163" s="375">
        <f t="shared" si="28"/>
        <v>30.435553168635881</v>
      </c>
      <c r="K163" s="89" t="s">
        <v>728</v>
      </c>
      <c r="M163" s="63" t="s">
        <v>58</v>
      </c>
      <c r="N163" s="114">
        <v>116.6</v>
      </c>
      <c r="O163" s="83">
        <v>16639.97</v>
      </c>
      <c r="P163" s="375">
        <f t="shared" si="27"/>
        <v>142.70986277873072</v>
      </c>
      <c r="Q163" s="132" t="s">
        <v>725</v>
      </c>
    </row>
    <row r="164" spans="1:30" ht="16.350000000000001" customHeight="1" x14ac:dyDescent="0.2">
      <c r="A164" s="63" t="s">
        <v>61</v>
      </c>
      <c r="B164" s="114">
        <v>199.1</v>
      </c>
      <c r="C164" s="83">
        <v>7588</v>
      </c>
      <c r="D164" s="88">
        <f t="shared" si="26"/>
        <v>38.111501757910595</v>
      </c>
      <c r="E164" s="90" t="s">
        <v>373</v>
      </c>
      <c r="G164" s="63" t="s">
        <v>61</v>
      </c>
      <c r="H164" s="171">
        <v>109</v>
      </c>
      <c r="I164" s="83">
        <v>3654.63</v>
      </c>
      <c r="J164" s="375">
        <f t="shared" si="28"/>
        <v>33.528715596330279</v>
      </c>
      <c r="K164" s="89" t="s">
        <v>417</v>
      </c>
      <c r="M164" s="63" t="s">
        <v>61</v>
      </c>
      <c r="N164" s="114">
        <v>108</v>
      </c>
      <c r="O164" s="83">
        <v>14860.88</v>
      </c>
      <c r="P164" s="375">
        <f t="shared" si="27"/>
        <v>137.60074074074075</v>
      </c>
      <c r="Q164" s="90" t="s">
        <v>737</v>
      </c>
    </row>
    <row r="165" spans="1:30" ht="16.350000000000001" customHeight="1" x14ac:dyDescent="0.2">
      <c r="A165" s="63" t="s">
        <v>63</v>
      </c>
      <c r="B165" s="114">
        <v>266.3</v>
      </c>
      <c r="C165" s="83">
        <v>7996.26</v>
      </c>
      <c r="D165" s="375">
        <f t="shared" si="26"/>
        <v>30.027262485918136</v>
      </c>
      <c r="E165" s="132" t="s">
        <v>487</v>
      </c>
      <c r="G165" s="63" t="s">
        <v>63</v>
      </c>
      <c r="H165" s="171">
        <v>147.5</v>
      </c>
      <c r="I165" s="83">
        <v>3953.68</v>
      </c>
      <c r="J165" s="375">
        <f t="shared" si="28"/>
        <v>26.804610169491525</v>
      </c>
      <c r="K165" s="89" t="s">
        <v>739</v>
      </c>
      <c r="M165" s="63" t="s">
        <v>63</v>
      </c>
      <c r="N165" s="114">
        <v>153.80000000000001</v>
      </c>
      <c r="O165" s="83">
        <v>18701.650000000001</v>
      </c>
      <c r="P165" s="375">
        <f t="shared" si="27"/>
        <v>121.59720416124837</v>
      </c>
      <c r="Q165" s="90" t="s">
        <v>420</v>
      </c>
    </row>
    <row r="166" spans="1:30" ht="16.350000000000001" customHeight="1" x14ac:dyDescent="0.2">
      <c r="A166" s="63" t="s">
        <v>65</v>
      </c>
      <c r="B166" s="114">
        <v>272.3</v>
      </c>
      <c r="C166" s="83">
        <v>10397.370000000001</v>
      </c>
      <c r="D166" s="375">
        <f t="shared" si="26"/>
        <v>38.183510833639367</v>
      </c>
      <c r="E166" s="90" t="s">
        <v>748</v>
      </c>
      <c r="G166" s="63" t="s">
        <v>65</v>
      </c>
      <c r="H166" s="114">
        <v>161.4</v>
      </c>
      <c r="I166" s="83">
        <v>5289.79</v>
      </c>
      <c r="J166" s="88">
        <f t="shared" si="28"/>
        <v>32.774411400247828</v>
      </c>
      <c r="K166" s="89" t="s">
        <v>286</v>
      </c>
      <c r="M166" s="63" t="s">
        <v>65</v>
      </c>
      <c r="N166" s="114">
        <v>162.5</v>
      </c>
      <c r="O166" s="80">
        <v>21593.439999999999</v>
      </c>
      <c r="P166" s="88">
        <f t="shared" si="27"/>
        <v>132.88270769230769</v>
      </c>
      <c r="Q166" s="90" t="s">
        <v>383</v>
      </c>
    </row>
    <row r="167" spans="1:30" ht="16.350000000000001" customHeight="1" x14ac:dyDescent="0.2">
      <c r="A167" s="63" t="s">
        <v>67</v>
      </c>
      <c r="B167" s="114">
        <v>291.2</v>
      </c>
      <c r="C167" s="83">
        <v>13314.9</v>
      </c>
      <c r="D167" s="375">
        <f t="shared" si="26"/>
        <v>45.724244505494504</v>
      </c>
      <c r="E167" s="90" t="s">
        <v>384</v>
      </c>
      <c r="G167" s="63" t="s">
        <v>67</v>
      </c>
      <c r="H167" s="114">
        <v>200.9</v>
      </c>
      <c r="I167" s="83">
        <v>6342.9</v>
      </c>
      <c r="J167" s="88">
        <f t="shared" si="28"/>
        <v>31.572424091587852</v>
      </c>
      <c r="K167" s="89" t="s">
        <v>283</v>
      </c>
      <c r="M167" s="63" t="s">
        <v>67</v>
      </c>
      <c r="N167" s="114">
        <v>193.9</v>
      </c>
      <c r="O167" s="80">
        <v>37887.230000000003</v>
      </c>
      <c r="P167" s="88">
        <f t="shared" si="27"/>
        <v>195.39571944301187</v>
      </c>
      <c r="Q167" s="90" t="s">
        <v>750</v>
      </c>
    </row>
    <row r="168" spans="1:30" ht="16.350000000000001" customHeight="1" x14ac:dyDescent="0.2">
      <c r="A168" s="63" t="s">
        <v>62</v>
      </c>
      <c r="B168" s="114">
        <v>291.7</v>
      </c>
      <c r="C168" s="83">
        <v>13245.92</v>
      </c>
      <c r="D168" s="375">
        <f t="shared" si="26"/>
        <v>45.409393212204321</v>
      </c>
      <c r="E168" s="90" t="s">
        <v>498</v>
      </c>
      <c r="G168" s="63" t="s">
        <v>62</v>
      </c>
      <c r="H168" s="114">
        <v>205.9</v>
      </c>
      <c r="I168" s="83">
        <v>6014.08</v>
      </c>
      <c r="J168" s="88">
        <f t="shared" si="28"/>
        <v>29.208742107819329</v>
      </c>
      <c r="K168" s="89" t="s">
        <v>287</v>
      </c>
      <c r="M168" s="63" t="s">
        <v>62</v>
      </c>
      <c r="N168" s="114">
        <v>183</v>
      </c>
      <c r="O168" s="80">
        <v>14176.2</v>
      </c>
      <c r="P168" s="88">
        <f t="shared" si="27"/>
        <v>77.465573770491801</v>
      </c>
      <c r="Q168" s="90" t="s">
        <v>444</v>
      </c>
    </row>
    <row r="169" spans="1:30" ht="16.350000000000001" customHeight="1" x14ac:dyDescent="0.2">
      <c r="A169" s="63" t="s">
        <v>64</v>
      </c>
      <c r="B169" s="114">
        <v>278.5</v>
      </c>
      <c r="C169" s="83">
        <v>14316.37</v>
      </c>
      <c r="D169" s="375">
        <f t="shared" si="26"/>
        <v>51.405278276481155</v>
      </c>
      <c r="E169" s="90" t="s">
        <v>697</v>
      </c>
      <c r="G169" s="63" t="s">
        <v>64</v>
      </c>
      <c r="H169" s="114">
        <v>175.4</v>
      </c>
      <c r="I169" s="83">
        <v>6649.61</v>
      </c>
      <c r="J169" s="88">
        <f t="shared" si="28"/>
        <v>37.91111744583808</v>
      </c>
      <c r="K169" s="89" t="s">
        <v>289</v>
      </c>
      <c r="M169" s="63" t="s">
        <v>64</v>
      </c>
      <c r="N169" s="114">
        <v>167.6</v>
      </c>
      <c r="O169" s="80">
        <v>30177.19</v>
      </c>
      <c r="P169" s="88">
        <f t="shared" si="27"/>
        <v>180.05483293556085</v>
      </c>
      <c r="Q169" s="90" t="s">
        <v>751</v>
      </c>
    </row>
    <row r="170" spans="1:30" ht="16.350000000000001" customHeight="1" x14ac:dyDescent="0.2">
      <c r="A170" s="63" t="s">
        <v>66</v>
      </c>
      <c r="B170" s="114">
        <v>220</v>
      </c>
      <c r="C170" s="80">
        <v>12391.51</v>
      </c>
      <c r="D170" s="375">
        <f t="shared" si="26"/>
        <v>56.325045454545453</v>
      </c>
      <c r="E170" s="352" t="s">
        <v>701</v>
      </c>
      <c r="G170" s="63" t="s">
        <v>66</v>
      </c>
      <c r="H170" s="114">
        <v>124.7</v>
      </c>
      <c r="I170" s="83">
        <v>4850.3999999999996</v>
      </c>
      <c r="J170" s="88">
        <f t="shared" si="28"/>
        <v>38.896551724137929</v>
      </c>
      <c r="K170" s="89" t="s">
        <v>756</v>
      </c>
      <c r="M170" s="63" t="s">
        <v>66</v>
      </c>
      <c r="N170" s="114">
        <v>138.80000000000001</v>
      </c>
      <c r="O170" s="80">
        <v>19972.509999999998</v>
      </c>
      <c r="P170" s="88">
        <f t="shared" si="27"/>
        <v>143.89416426512966</v>
      </c>
      <c r="Q170" s="90" t="s">
        <v>754</v>
      </c>
    </row>
    <row r="171" spans="1:30" ht="16.350000000000001" customHeight="1" x14ac:dyDescent="0.2">
      <c r="A171" s="63" t="s">
        <v>56</v>
      </c>
      <c r="B171" s="114">
        <v>148.5</v>
      </c>
      <c r="C171" s="83">
        <v>8231.5400000000009</v>
      </c>
      <c r="D171" s="375">
        <f t="shared" si="26"/>
        <v>55.4312457912458</v>
      </c>
      <c r="E171" s="90" t="s">
        <v>343</v>
      </c>
      <c r="G171" s="63" t="s">
        <v>56</v>
      </c>
      <c r="H171" s="114">
        <v>113.3</v>
      </c>
      <c r="I171" s="83">
        <v>4111.55</v>
      </c>
      <c r="J171" s="88">
        <f t="shared" si="28"/>
        <v>36.289055604589585</v>
      </c>
      <c r="K171" s="414" t="s">
        <v>344</v>
      </c>
      <c r="M171" s="63" t="s">
        <v>56</v>
      </c>
      <c r="N171" s="114">
        <v>123.6</v>
      </c>
      <c r="O171" s="80">
        <v>18348.87</v>
      </c>
      <c r="P171" s="88">
        <f t="shared" si="27"/>
        <v>148.45364077669902</v>
      </c>
      <c r="Q171" s="90" t="s">
        <v>762</v>
      </c>
    </row>
    <row r="172" spans="1:30" ht="16.350000000000001" customHeight="1" x14ac:dyDescent="0.2">
      <c r="A172" s="102" t="s">
        <v>59</v>
      </c>
      <c r="B172" s="115">
        <v>50.3</v>
      </c>
      <c r="C172" s="131">
        <v>6846.84</v>
      </c>
      <c r="D172" s="376">
        <f t="shared" si="26"/>
        <v>136.12007952286282</v>
      </c>
      <c r="E172" s="95" t="s">
        <v>711</v>
      </c>
      <c r="G172" s="102" t="s">
        <v>59</v>
      </c>
      <c r="H172" s="115">
        <v>75.099999999999994</v>
      </c>
      <c r="I172" s="131">
        <v>3583.48</v>
      </c>
      <c r="J172" s="411">
        <f t="shared" si="28"/>
        <v>47.716111850865516</v>
      </c>
      <c r="K172" s="415" t="s">
        <v>353</v>
      </c>
      <c r="M172" s="102" t="s">
        <v>59</v>
      </c>
      <c r="N172" s="115">
        <v>85.388000000000005</v>
      </c>
      <c r="O172" s="70">
        <v>13289.47</v>
      </c>
      <c r="P172" s="72">
        <f t="shared" si="27"/>
        <v>155.6362720757015</v>
      </c>
      <c r="Q172" s="95" t="s">
        <v>763</v>
      </c>
    </row>
    <row r="173" spans="1:30" ht="16.350000000000001" customHeight="1" x14ac:dyDescent="0.35">
      <c r="A173" s="63" t="s">
        <v>30</v>
      </c>
      <c r="B173" s="134">
        <f>SUM(B161:B172)</f>
        <v>2498.3000000000002</v>
      </c>
      <c r="C173" s="84">
        <f>SUM(C161:C172)</f>
        <v>114615.28</v>
      </c>
      <c r="D173" s="84">
        <f>C173/SUM(B161:B172)</f>
        <v>45.877308569827477</v>
      </c>
      <c r="E173" s="140"/>
      <c r="G173" s="63" t="s">
        <v>30</v>
      </c>
      <c r="H173" s="134">
        <f>SUM(H161:H172)</f>
        <v>1534.3</v>
      </c>
      <c r="I173" s="84">
        <f>SUM(I161:I172)</f>
        <v>53092.470000000008</v>
      </c>
      <c r="J173" s="88">
        <f>I173/SUM(H161:H172)</f>
        <v>34.603708531577922</v>
      </c>
      <c r="K173" s="119"/>
      <c r="M173" s="63" t="s">
        <v>30</v>
      </c>
      <c r="N173" s="134">
        <f>SUM(N161:N172)</f>
        <v>1607.4879999999996</v>
      </c>
      <c r="O173" s="84">
        <f>SUM(O161:O172)</f>
        <v>233708.53000000003</v>
      </c>
      <c r="P173" s="84">
        <f>O173/SUM(N161:N172)</f>
        <v>145.38741813313698</v>
      </c>
      <c r="Q173" s="140"/>
      <c r="AD173" s="15">
        <v>541.70000000000005</v>
      </c>
    </row>
    <row r="174" spans="1:30" ht="16.350000000000001" customHeight="1" x14ac:dyDescent="0.2">
      <c r="AD174" s="15">
        <f>996.6-AC173</f>
        <v>996.6</v>
      </c>
    </row>
    <row r="176" spans="1:30" ht="15.6" customHeight="1" x14ac:dyDescent="0.25">
      <c r="A176" s="59"/>
      <c r="B176" s="81"/>
      <c r="C176" s="77">
        <v>2008</v>
      </c>
      <c r="D176" s="87"/>
      <c r="E176" s="86"/>
      <c r="G176" s="59"/>
      <c r="H176" s="81"/>
      <c r="I176" s="77">
        <v>2008</v>
      </c>
      <c r="J176" s="28"/>
      <c r="K176" s="86"/>
      <c r="M176" s="59"/>
      <c r="N176" s="81"/>
      <c r="O176" s="77">
        <v>2008</v>
      </c>
      <c r="P176" s="28"/>
      <c r="Q176" s="86"/>
    </row>
    <row r="177" spans="1:17" ht="16.350000000000001" customHeight="1" x14ac:dyDescent="0.2">
      <c r="A177" s="101"/>
      <c r="B177" s="23" t="s">
        <v>850</v>
      </c>
      <c r="C177" s="23" t="s">
        <v>848</v>
      </c>
      <c r="D177" s="688" t="s">
        <v>106</v>
      </c>
      <c r="E177" s="100"/>
      <c r="G177" s="120"/>
      <c r="H177" s="23" t="s">
        <v>850</v>
      </c>
      <c r="I177" s="23" t="s">
        <v>848</v>
      </c>
      <c r="J177" s="23" t="s">
        <v>106</v>
      </c>
      <c r="K177" s="100"/>
      <c r="M177" s="101"/>
      <c r="N177" s="23" t="s">
        <v>850</v>
      </c>
      <c r="O177" s="23" t="s">
        <v>848</v>
      </c>
      <c r="P177" s="23" t="s">
        <v>106</v>
      </c>
      <c r="Q177" s="100"/>
    </row>
    <row r="178" spans="1:17" ht="16.350000000000001" customHeight="1" x14ac:dyDescent="0.2">
      <c r="A178" s="63" t="s">
        <v>54</v>
      </c>
      <c r="B178" s="87">
        <v>49.3</v>
      </c>
      <c r="C178" s="83">
        <v>3684.24</v>
      </c>
      <c r="D178" s="88">
        <f t="shared" ref="D178:D186" si="29">C178/B178</f>
        <v>74.731034482758616</v>
      </c>
      <c r="E178" s="413" t="s">
        <v>406</v>
      </c>
      <c r="G178" s="63" t="s">
        <v>54</v>
      </c>
      <c r="H178" s="82">
        <v>45.9</v>
      </c>
      <c r="I178" s="83">
        <v>2867.69</v>
      </c>
      <c r="J178" s="375">
        <f t="shared" ref="J178:J189" si="30">I178/H178</f>
        <v>62.47690631808279</v>
      </c>
      <c r="K178" s="414" t="s">
        <v>915</v>
      </c>
      <c r="M178" s="63" t="s">
        <v>54</v>
      </c>
      <c r="N178" s="114">
        <v>68.414000000000001</v>
      </c>
      <c r="O178" s="83">
        <v>10568.79</v>
      </c>
      <c r="P178" s="375">
        <f t="shared" ref="P178:P189" si="31">O178/N178</f>
        <v>154.48285438652908</v>
      </c>
      <c r="Q178" s="413" t="s">
        <v>467</v>
      </c>
    </row>
    <row r="179" spans="1:17" ht="16.350000000000001" customHeight="1" x14ac:dyDescent="0.2">
      <c r="A179" s="63" t="s">
        <v>55</v>
      </c>
      <c r="B179" s="87">
        <v>18.899999999999999</v>
      </c>
      <c r="C179" s="80">
        <v>2251.12</v>
      </c>
      <c r="D179" s="88">
        <f t="shared" si="29"/>
        <v>119.10687830687831</v>
      </c>
      <c r="E179" s="413" t="s">
        <v>409</v>
      </c>
      <c r="G179" s="63" t="s">
        <v>55</v>
      </c>
      <c r="H179" s="82">
        <v>45.5</v>
      </c>
      <c r="I179" s="83">
        <v>2232.52</v>
      </c>
      <c r="J179" s="375">
        <f t="shared" si="30"/>
        <v>49.066373626373625</v>
      </c>
      <c r="K179" s="89" t="s">
        <v>922</v>
      </c>
      <c r="M179" s="63" t="s">
        <v>55</v>
      </c>
      <c r="N179" s="114">
        <v>64.900000000000006</v>
      </c>
      <c r="O179" s="83">
        <v>10763.8</v>
      </c>
      <c r="P179" s="375">
        <f t="shared" si="31"/>
        <v>165.85208012326655</v>
      </c>
      <c r="Q179" s="90" t="s">
        <v>927</v>
      </c>
    </row>
    <row r="180" spans="1:17" ht="16.350000000000001" customHeight="1" x14ac:dyDescent="0.2">
      <c r="A180" s="63" t="s">
        <v>58</v>
      </c>
      <c r="B180" s="87">
        <v>76.3</v>
      </c>
      <c r="C180" s="83">
        <v>3012.09</v>
      </c>
      <c r="D180" s="88">
        <f t="shared" si="29"/>
        <v>39.476933158584536</v>
      </c>
      <c r="E180" s="90" t="s">
        <v>370</v>
      </c>
      <c r="G180" s="63" t="s">
        <v>58</v>
      </c>
      <c r="H180" s="171">
        <v>111.5</v>
      </c>
      <c r="I180" s="83">
        <v>2702.95</v>
      </c>
      <c r="J180" s="375">
        <f t="shared" si="30"/>
        <v>24.241704035874438</v>
      </c>
      <c r="K180" s="89" t="s">
        <v>472</v>
      </c>
      <c r="M180" s="63" t="s">
        <v>58</v>
      </c>
      <c r="N180" s="114">
        <v>105.98399999999999</v>
      </c>
      <c r="O180" s="83">
        <v>15764.71</v>
      </c>
      <c r="P180" s="375">
        <f t="shared" si="31"/>
        <v>148.7461314915459</v>
      </c>
      <c r="Q180" s="132" t="s">
        <v>928</v>
      </c>
    </row>
    <row r="181" spans="1:17" ht="16.350000000000001" customHeight="1" x14ac:dyDescent="0.2">
      <c r="A181" s="63" t="s">
        <v>61</v>
      </c>
      <c r="B181" s="114">
        <v>196.2</v>
      </c>
      <c r="C181" s="83">
        <v>5467.72</v>
      </c>
      <c r="D181" s="88">
        <f t="shared" si="29"/>
        <v>27.868093781855254</v>
      </c>
      <c r="E181" s="90" t="s">
        <v>916</v>
      </c>
      <c r="G181" s="63" t="s">
        <v>61</v>
      </c>
      <c r="H181" s="171">
        <v>144.4</v>
      </c>
      <c r="I181" s="83">
        <v>4301.59</v>
      </c>
      <c r="J181" s="375">
        <f t="shared" si="30"/>
        <v>29.789404432132965</v>
      </c>
      <c r="K181" s="89" t="s">
        <v>422</v>
      </c>
      <c r="M181" s="63" t="s">
        <v>61</v>
      </c>
      <c r="N181" s="114">
        <v>129.315</v>
      </c>
      <c r="O181" s="83">
        <v>17782.189999999999</v>
      </c>
      <c r="P181" s="375">
        <f t="shared" si="31"/>
        <v>137.51065228318447</v>
      </c>
      <c r="Q181" s="132" t="s">
        <v>277</v>
      </c>
    </row>
    <row r="182" spans="1:17" ht="16.350000000000001" customHeight="1" x14ac:dyDescent="0.2">
      <c r="A182" s="63" t="s">
        <v>63</v>
      </c>
      <c r="B182" s="114">
        <v>226.8</v>
      </c>
      <c r="C182" s="83">
        <v>7773.46</v>
      </c>
      <c r="D182" s="375">
        <f>C182/B182</f>
        <v>34.274514991181654</v>
      </c>
      <c r="E182" s="132" t="s">
        <v>917</v>
      </c>
      <c r="G182" s="63" t="s">
        <v>63</v>
      </c>
      <c r="H182" s="171">
        <v>151</v>
      </c>
      <c r="I182" s="83">
        <v>5297.92</v>
      </c>
      <c r="J182" s="375">
        <f t="shared" si="30"/>
        <v>35.085562913907282</v>
      </c>
      <c r="K182" s="89" t="s">
        <v>421</v>
      </c>
      <c r="M182" s="63" t="s">
        <v>63</v>
      </c>
      <c r="N182" s="114">
        <v>136.65100000000001</v>
      </c>
      <c r="O182" s="83">
        <v>18828.71</v>
      </c>
      <c r="P182" s="375">
        <f t="shared" si="31"/>
        <v>137.78684385771049</v>
      </c>
      <c r="Q182" s="90" t="s">
        <v>420</v>
      </c>
    </row>
    <row r="183" spans="1:17" ht="16.350000000000001" customHeight="1" x14ac:dyDescent="0.2">
      <c r="A183" s="63" t="s">
        <v>65</v>
      </c>
      <c r="B183" s="114">
        <v>283.3</v>
      </c>
      <c r="C183" s="83">
        <v>10799.77</v>
      </c>
      <c r="D183" s="375">
        <f t="shared" si="29"/>
        <v>38.121320155312389</v>
      </c>
      <c r="E183" s="90" t="s">
        <v>918</v>
      </c>
      <c r="G183" s="63" t="s">
        <v>65</v>
      </c>
      <c r="H183" s="114">
        <v>188.7</v>
      </c>
      <c r="I183" s="83">
        <v>5265.86</v>
      </c>
      <c r="J183" s="88">
        <f t="shared" si="30"/>
        <v>27.905988341282459</v>
      </c>
      <c r="K183" s="89" t="s">
        <v>426</v>
      </c>
      <c r="M183" s="63" t="s">
        <v>65</v>
      </c>
      <c r="N183" s="114">
        <v>188.3</v>
      </c>
      <c r="O183" s="80">
        <v>20901.580000000002</v>
      </c>
      <c r="P183" s="88">
        <f t="shared" si="31"/>
        <v>111.00148698884759</v>
      </c>
      <c r="Q183" s="90" t="s">
        <v>434</v>
      </c>
    </row>
    <row r="184" spans="1:17" ht="16.350000000000001" customHeight="1" x14ac:dyDescent="0.2">
      <c r="A184" s="63" t="s">
        <v>67</v>
      </c>
      <c r="B184" s="114">
        <v>222.8</v>
      </c>
      <c r="C184" s="83">
        <v>14339.21</v>
      </c>
      <c r="D184" s="375">
        <f t="shared" si="29"/>
        <v>64.359111310592453</v>
      </c>
      <c r="E184" s="90" t="s">
        <v>772</v>
      </c>
      <c r="G184" s="63" t="s">
        <v>67</v>
      </c>
      <c r="H184" s="114">
        <v>210.2</v>
      </c>
      <c r="I184" s="83">
        <v>6167.48</v>
      </c>
      <c r="J184" s="88">
        <f t="shared" si="30"/>
        <v>29.341008563273071</v>
      </c>
      <c r="K184" s="89" t="s">
        <v>283</v>
      </c>
      <c r="M184" s="63" t="s">
        <v>67</v>
      </c>
      <c r="N184" s="114">
        <v>181.5</v>
      </c>
      <c r="O184" s="80">
        <v>7898.95</v>
      </c>
      <c r="P184" s="88">
        <f t="shared" si="31"/>
        <v>43.520385674931127</v>
      </c>
      <c r="Q184" s="90" t="s">
        <v>929</v>
      </c>
    </row>
    <row r="185" spans="1:17" ht="16.350000000000001" customHeight="1" x14ac:dyDescent="0.2">
      <c r="A185" s="63" t="s">
        <v>62</v>
      </c>
      <c r="B185" s="114">
        <v>218.9</v>
      </c>
      <c r="C185" s="83">
        <v>11010.98</v>
      </c>
      <c r="D185" s="375">
        <f t="shared" si="29"/>
        <v>50.301416171767926</v>
      </c>
      <c r="E185" s="90" t="s">
        <v>773</v>
      </c>
      <c r="G185" s="63" t="s">
        <v>62</v>
      </c>
      <c r="H185" s="114">
        <v>209.3</v>
      </c>
      <c r="I185" s="83">
        <v>6167.48</v>
      </c>
      <c r="J185" s="88">
        <f t="shared" si="30"/>
        <v>29.467176301958908</v>
      </c>
      <c r="K185" s="89" t="s">
        <v>923</v>
      </c>
      <c r="M185" s="63" t="s">
        <v>62</v>
      </c>
      <c r="N185" s="114">
        <v>182.6</v>
      </c>
      <c r="O185" s="80">
        <v>37301.31</v>
      </c>
      <c r="P185" s="88">
        <f t="shared" si="31"/>
        <v>204.27880613362541</v>
      </c>
      <c r="Q185" s="90" t="s">
        <v>444</v>
      </c>
    </row>
    <row r="186" spans="1:17" ht="16.350000000000001" customHeight="1" x14ac:dyDescent="0.2">
      <c r="A186" s="63" t="s">
        <v>64</v>
      </c>
      <c r="B186" s="114">
        <v>240.8</v>
      </c>
      <c r="C186" s="83">
        <v>12472.84</v>
      </c>
      <c r="D186" s="375">
        <f t="shared" si="29"/>
        <v>51.797508305647838</v>
      </c>
      <c r="E186" s="90" t="s">
        <v>919</v>
      </c>
      <c r="G186" s="63" t="s">
        <v>64</v>
      </c>
      <c r="H186" s="114">
        <v>189.9</v>
      </c>
      <c r="I186" s="80">
        <v>6539.3</v>
      </c>
      <c r="J186" s="88">
        <f t="shared" si="30"/>
        <v>34.435492364402315</v>
      </c>
      <c r="K186" s="90" t="s">
        <v>923</v>
      </c>
      <c r="M186" s="63" t="s">
        <v>64</v>
      </c>
      <c r="N186" s="114">
        <v>156</v>
      </c>
      <c r="O186" s="80">
        <v>21084.41</v>
      </c>
      <c r="P186" s="88">
        <f t="shared" si="31"/>
        <v>135.15647435897435</v>
      </c>
      <c r="Q186" s="90" t="s">
        <v>443</v>
      </c>
    </row>
    <row r="187" spans="1:17" ht="16.350000000000001" customHeight="1" x14ac:dyDescent="0.2">
      <c r="A187" s="63" t="s">
        <v>66</v>
      </c>
      <c r="B187" s="114">
        <v>202.8</v>
      </c>
      <c r="C187" s="80">
        <v>12641.03</v>
      </c>
      <c r="D187" s="375">
        <f>C187/B187</f>
        <v>62.332495069033527</v>
      </c>
      <c r="E187" s="352" t="s">
        <v>920</v>
      </c>
      <c r="G187" s="63" t="s">
        <v>66</v>
      </c>
      <c r="H187" s="114">
        <v>156</v>
      </c>
      <c r="I187" s="80">
        <v>6177.58</v>
      </c>
      <c r="J187" s="88">
        <f t="shared" si="30"/>
        <v>39.599871794871795</v>
      </c>
      <c r="K187" s="90" t="s">
        <v>924</v>
      </c>
      <c r="M187" s="63" t="s">
        <v>66</v>
      </c>
      <c r="N187" s="114">
        <v>149.6</v>
      </c>
      <c r="O187" s="80">
        <v>20432.84</v>
      </c>
      <c r="P187" s="88">
        <f t="shared" si="31"/>
        <v>136.58315508021391</v>
      </c>
      <c r="Q187" s="90" t="s">
        <v>930</v>
      </c>
    </row>
    <row r="188" spans="1:17" ht="16.350000000000001" customHeight="1" x14ac:dyDescent="0.2">
      <c r="A188" s="63" t="s">
        <v>56</v>
      </c>
      <c r="B188" s="114">
        <v>101.8</v>
      </c>
      <c r="C188" s="83">
        <v>6092.24</v>
      </c>
      <c r="D188" s="375">
        <f>C188/B188</f>
        <v>59.84518664047151</v>
      </c>
      <c r="E188" s="90" t="s">
        <v>921</v>
      </c>
      <c r="G188" s="63" t="s">
        <v>56</v>
      </c>
      <c r="H188" s="114">
        <v>104.3</v>
      </c>
      <c r="I188" s="83">
        <v>5508.74</v>
      </c>
      <c r="J188" s="88">
        <f t="shared" si="30"/>
        <v>52.816299137104508</v>
      </c>
      <c r="K188" s="414" t="s">
        <v>925</v>
      </c>
      <c r="M188" s="63" t="s">
        <v>56</v>
      </c>
      <c r="N188" s="114">
        <v>125</v>
      </c>
      <c r="O188" s="80">
        <v>18441.32</v>
      </c>
      <c r="P188" s="88">
        <f t="shared" si="31"/>
        <v>147.53056000000001</v>
      </c>
      <c r="Q188" s="90" t="s">
        <v>808</v>
      </c>
    </row>
    <row r="189" spans="1:17" ht="16.350000000000001" customHeight="1" x14ac:dyDescent="0.2">
      <c r="A189" s="102" t="s">
        <v>59</v>
      </c>
      <c r="B189" s="115">
        <v>30.3</v>
      </c>
      <c r="C189" s="131">
        <v>2989.17</v>
      </c>
      <c r="D189" s="376">
        <f>C189/B189</f>
        <v>98.652475247524748</v>
      </c>
      <c r="E189" s="95" t="s">
        <v>914</v>
      </c>
      <c r="G189" s="102" t="s">
        <v>59</v>
      </c>
      <c r="H189" s="115">
        <v>47.3</v>
      </c>
      <c r="I189" s="131">
        <v>5008.03</v>
      </c>
      <c r="J189" s="72">
        <f t="shared" si="30"/>
        <v>105.87801268498943</v>
      </c>
      <c r="K189" s="415" t="s">
        <v>926</v>
      </c>
      <c r="M189" s="102" t="s">
        <v>59</v>
      </c>
      <c r="N189" s="115">
        <v>72</v>
      </c>
      <c r="O189" s="70">
        <v>11609.05</v>
      </c>
      <c r="P189" s="72">
        <f t="shared" si="31"/>
        <v>161.23680555555555</v>
      </c>
      <c r="Q189" s="95" t="s">
        <v>931</v>
      </c>
    </row>
    <row r="190" spans="1:17" ht="16.350000000000001" customHeight="1" x14ac:dyDescent="0.35">
      <c r="A190" s="63" t="s">
        <v>30</v>
      </c>
      <c r="B190" s="134">
        <f>SUM(B178:B189)</f>
        <v>1868.1999999999998</v>
      </c>
      <c r="C190" s="84">
        <f>SUM(C178:C189)</f>
        <v>92533.87</v>
      </c>
      <c r="D190" s="84">
        <f>C190/SUM(B178:B189)</f>
        <v>49.531029868322449</v>
      </c>
      <c r="E190" s="550"/>
      <c r="G190" s="63" t="s">
        <v>30</v>
      </c>
      <c r="H190" s="134">
        <f>SUM(H178:H189)</f>
        <v>1604</v>
      </c>
      <c r="I190" s="84">
        <f>SUM(I178:I189)</f>
        <v>58237.14</v>
      </c>
      <c r="J190" s="88">
        <f>I190/SUM(H178:H189)</f>
        <v>36.307443890274314</v>
      </c>
      <c r="K190" s="551"/>
      <c r="M190" s="63" t="s">
        <v>30</v>
      </c>
      <c r="N190" s="134">
        <f>SUM(N178:N189)</f>
        <v>1560.2639999999999</v>
      </c>
      <c r="O190" s="84">
        <f>SUM(O178:O189)</f>
        <v>211377.66</v>
      </c>
      <c r="P190" s="84">
        <f>O190/SUM(N178:N189)</f>
        <v>135.47557336450757</v>
      </c>
      <c r="Q190" s="140"/>
    </row>
    <row r="193" spans="1:17" ht="16.350000000000001" customHeight="1" x14ac:dyDescent="0.25">
      <c r="A193" s="59"/>
      <c r="B193" s="81"/>
      <c r="C193" s="77">
        <v>2009</v>
      </c>
      <c r="D193" s="87"/>
      <c r="E193" s="86"/>
      <c r="G193" s="59"/>
      <c r="H193" s="81"/>
      <c r="I193" s="77">
        <v>2009</v>
      </c>
      <c r="J193" s="28"/>
      <c r="K193" s="86"/>
      <c r="M193" s="59"/>
      <c r="N193" s="81"/>
      <c r="O193" s="77">
        <v>2009</v>
      </c>
      <c r="P193" s="28"/>
      <c r="Q193" s="86"/>
    </row>
    <row r="194" spans="1:17" ht="16.350000000000001" customHeight="1" x14ac:dyDescent="0.2">
      <c r="A194" s="101"/>
      <c r="B194" s="23" t="s">
        <v>850</v>
      </c>
      <c r="C194" s="23" t="s">
        <v>848</v>
      </c>
      <c r="D194" s="688" t="s">
        <v>106</v>
      </c>
      <c r="E194" s="100"/>
      <c r="G194" s="120"/>
      <c r="H194" s="23" t="s">
        <v>850</v>
      </c>
      <c r="I194" s="23" t="s">
        <v>848</v>
      </c>
      <c r="J194" s="23" t="s">
        <v>106</v>
      </c>
      <c r="K194" s="100"/>
      <c r="M194" s="101"/>
      <c r="N194" s="23" t="s">
        <v>850</v>
      </c>
      <c r="O194" s="23" t="s">
        <v>848</v>
      </c>
      <c r="P194" s="23" t="s">
        <v>106</v>
      </c>
      <c r="Q194" s="100"/>
    </row>
    <row r="195" spans="1:17" ht="16.350000000000001" customHeight="1" x14ac:dyDescent="0.2">
      <c r="A195" s="63" t="s">
        <v>54</v>
      </c>
      <c r="B195" s="87">
        <v>73.400000000000006</v>
      </c>
      <c r="C195" s="83">
        <v>4074.43</v>
      </c>
      <c r="D195" s="84">
        <f t="shared" ref="D195:D206" si="32">C195/B195</f>
        <v>55.509945504087185</v>
      </c>
      <c r="E195" s="413" t="s">
        <v>815</v>
      </c>
      <c r="G195" s="63" t="s">
        <v>54</v>
      </c>
      <c r="H195" s="82">
        <v>65.2</v>
      </c>
      <c r="I195" s="83">
        <v>3759.09</v>
      </c>
      <c r="J195" s="375">
        <f t="shared" ref="J195:J202" si="33">I195/H195</f>
        <v>57.65475460122699</v>
      </c>
      <c r="K195" s="414" t="s">
        <v>811</v>
      </c>
      <c r="M195" s="63" t="s">
        <v>54</v>
      </c>
      <c r="N195" s="114">
        <v>97.869</v>
      </c>
      <c r="O195" s="83">
        <v>9599.0499999999993</v>
      </c>
      <c r="P195" s="375">
        <f t="shared" ref="P195:P206" si="34">O195/N195</f>
        <v>98.08059753343754</v>
      </c>
      <c r="Q195" s="413" t="s">
        <v>467</v>
      </c>
    </row>
    <row r="196" spans="1:17" ht="16.350000000000001" customHeight="1" x14ac:dyDescent="0.2">
      <c r="A196" s="63" t="s">
        <v>55</v>
      </c>
      <c r="B196" s="87">
        <v>38.700000000000003</v>
      </c>
      <c r="C196" s="80">
        <v>2796.03</v>
      </c>
      <c r="D196" s="84">
        <f t="shared" si="32"/>
        <v>72.248837209302323</v>
      </c>
      <c r="E196" s="413" t="s">
        <v>818</v>
      </c>
      <c r="G196" s="63" t="s">
        <v>55</v>
      </c>
      <c r="H196" s="82">
        <v>35.299999999999997</v>
      </c>
      <c r="I196" s="83">
        <v>2198.0700000000002</v>
      </c>
      <c r="J196" s="375">
        <f t="shared" si="33"/>
        <v>62.268271954674233</v>
      </c>
      <c r="K196" s="89" t="s">
        <v>814</v>
      </c>
      <c r="M196" s="63" t="s">
        <v>55</v>
      </c>
      <c r="N196" s="114">
        <v>50.188000000000002</v>
      </c>
      <c r="O196" s="83">
        <v>14834.62</v>
      </c>
      <c r="P196" s="375">
        <f t="shared" si="34"/>
        <v>295.58101538216306</v>
      </c>
      <c r="Q196" s="90" t="s">
        <v>816</v>
      </c>
    </row>
    <row r="197" spans="1:17" ht="16.350000000000001" customHeight="1" x14ac:dyDescent="0.2">
      <c r="A197" s="63" t="s">
        <v>58</v>
      </c>
      <c r="B197" s="114">
        <v>77</v>
      </c>
      <c r="C197" s="83">
        <v>3625.79</v>
      </c>
      <c r="D197" s="84">
        <f t="shared" si="32"/>
        <v>47.088181818181816</v>
      </c>
      <c r="E197" s="90" t="s">
        <v>824</v>
      </c>
      <c r="G197" s="63" t="s">
        <v>58</v>
      </c>
      <c r="H197" s="171">
        <v>84.9</v>
      </c>
      <c r="I197" s="83">
        <v>2852.85</v>
      </c>
      <c r="J197" s="375">
        <f t="shared" si="33"/>
        <v>33.602473498233209</v>
      </c>
      <c r="K197" s="89" t="s">
        <v>819</v>
      </c>
      <c r="M197" s="63" t="s">
        <v>58</v>
      </c>
      <c r="N197" s="114">
        <v>87</v>
      </c>
      <c r="O197" s="83">
        <v>12114.16</v>
      </c>
      <c r="P197" s="375">
        <f t="shared" si="34"/>
        <v>139.2432183908046</v>
      </c>
      <c r="Q197" s="132" t="s">
        <v>826</v>
      </c>
    </row>
    <row r="198" spans="1:17" ht="16.350000000000001" customHeight="1" x14ac:dyDescent="0.2">
      <c r="A198" s="63" t="s">
        <v>61</v>
      </c>
      <c r="B198" s="114">
        <v>154.5</v>
      </c>
      <c r="C198" s="83">
        <v>6178.11</v>
      </c>
      <c r="D198" s="84">
        <f t="shared" si="32"/>
        <v>39.987766990291263</v>
      </c>
      <c r="E198" s="90" t="s">
        <v>828</v>
      </c>
      <c r="G198" s="63" t="s">
        <v>61</v>
      </c>
      <c r="H198" s="171">
        <v>120.2</v>
      </c>
      <c r="I198" s="83">
        <v>2214.9499999999998</v>
      </c>
      <c r="J198" s="375">
        <f t="shared" si="33"/>
        <v>18.427204658901829</v>
      </c>
      <c r="K198" s="89" t="s">
        <v>825</v>
      </c>
      <c r="M198" s="63" t="s">
        <v>61</v>
      </c>
      <c r="N198" s="114">
        <v>107.2</v>
      </c>
      <c r="O198" s="83">
        <v>15509.4</v>
      </c>
      <c r="P198" s="375">
        <f t="shared" si="34"/>
        <v>144.67723880597015</v>
      </c>
      <c r="Q198" s="132" t="s">
        <v>827</v>
      </c>
    </row>
    <row r="199" spans="1:17" ht="16.350000000000001" customHeight="1" x14ac:dyDescent="0.2">
      <c r="A199" s="63" t="s">
        <v>63</v>
      </c>
      <c r="B199" s="114">
        <v>166.6</v>
      </c>
      <c r="C199" s="83">
        <v>6763.13</v>
      </c>
      <c r="D199" s="657">
        <f t="shared" si="32"/>
        <v>40.595018007202881</v>
      </c>
      <c r="E199" s="132" t="s">
        <v>847</v>
      </c>
      <c r="G199" s="63" t="s">
        <v>63</v>
      </c>
      <c r="H199" s="171">
        <v>147.1</v>
      </c>
      <c r="I199" s="83">
        <v>3688.01</v>
      </c>
      <c r="J199" s="375">
        <f t="shared" si="33"/>
        <v>25.071447994561524</v>
      </c>
      <c r="K199" s="89" t="s">
        <v>829</v>
      </c>
      <c r="M199" s="63" t="s">
        <v>63</v>
      </c>
      <c r="N199" s="114">
        <v>140.19999999999999</v>
      </c>
      <c r="O199" s="83">
        <v>18841.669999999998</v>
      </c>
      <c r="P199" s="375">
        <f t="shared" si="34"/>
        <v>134.39136947218259</v>
      </c>
      <c r="Q199" s="90" t="s">
        <v>830</v>
      </c>
    </row>
    <row r="200" spans="1:17" ht="16.350000000000001" customHeight="1" x14ac:dyDescent="0.2">
      <c r="A200" s="63" t="s">
        <v>65</v>
      </c>
      <c r="B200" s="114">
        <v>156.1</v>
      </c>
      <c r="C200" s="83">
        <v>5921.41</v>
      </c>
      <c r="D200" s="657">
        <f t="shared" si="32"/>
        <v>37.933440102498402</v>
      </c>
      <c r="E200" s="90" t="s">
        <v>846</v>
      </c>
      <c r="G200" s="63" t="s">
        <v>65</v>
      </c>
      <c r="H200" s="114">
        <v>120.1</v>
      </c>
      <c r="I200" s="83">
        <v>4584.95</v>
      </c>
      <c r="J200" s="88">
        <f t="shared" si="33"/>
        <v>38.176103247293923</v>
      </c>
      <c r="K200" s="89" t="s">
        <v>841</v>
      </c>
      <c r="M200" s="63" t="s">
        <v>65</v>
      </c>
      <c r="N200" s="114">
        <v>118.9</v>
      </c>
      <c r="O200" s="80">
        <v>17464.97</v>
      </c>
      <c r="P200" s="88">
        <f t="shared" si="34"/>
        <v>146.8878889823381</v>
      </c>
      <c r="Q200" s="90" t="s">
        <v>842</v>
      </c>
    </row>
    <row r="201" spans="1:17" ht="16.350000000000001" customHeight="1" x14ac:dyDescent="0.2">
      <c r="A201" s="63" t="s">
        <v>67</v>
      </c>
      <c r="B201" s="114">
        <v>254.3</v>
      </c>
      <c r="C201" s="83">
        <v>12674.14</v>
      </c>
      <c r="D201" s="657">
        <f t="shared" si="32"/>
        <v>49.839323633503732</v>
      </c>
      <c r="E201" s="90" t="s">
        <v>845</v>
      </c>
      <c r="G201" s="63" t="s">
        <v>67</v>
      </c>
      <c r="H201" s="114">
        <v>178.6</v>
      </c>
      <c r="I201" s="83">
        <v>5921.41</v>
      </c>
      <c r="J201" s="88">
        <f t="shared" si="33"/>
        <v>33.154591265397535</v>
      </c>
      <c r="K201" s="89" t="s">
        <v>843</v>
      </c>
      <c r="M201" s="63" t="s">
        <v>67</v>
      </c>
      <c r="N201" s="114">
        <v>145.69999999999999</v>
      </c>
      <c r="O201" s="80">
        <v>18958.75</v>
      </c>
      <c r="P201" s="88">
        <f t="shared" si="34"/>
        <v>130.12182566918327</v>
      </c>
      <c r="Q201" s="90" t="s">
        <v>285</v>
      </c>
    </row>
    <row r="202" spans="1:17" ht="16.350000000000001" customHeight="1" x14ac:dyDescent="0.2">
      <c r="A202" s="63" t="s">
        <v>62</v>
      </c>
      <c r="B202" s="114">
        <v>221.8</v>
      </c>
      <c r="C202" s="83">
        <v>10927.35</v>
      </c>
      <c r="D202" s="657">
        <f t="shared" si="32"/>
        <v>49.266681695220917</v>
      </c>
      <c r="E202" s="90" t="s">
        <v>893</v>
      </c>
      <c r="G202" s="63" t="s">
        <v>62</v>
      </c>
      <c r="H202" s="114">
        <v>179.3</v>
      </c>
      <c r="I202" s="83">
        <v>7306.67</v>
      </c>
      <c r="J202" s="88">
        <f t="shared" si="33"/>
        <v>40.751087562744004</v>
      </c>
      <c r="K202" s="89" t="s">
        <v>772</v>
      </c>
      <c r="M202" s="63" t="s">
        <v>62</v>
      </c>
      <c r="N202" s="114">
        <v>147.19999999999999</v>
      </c>
      <c r="O202" s="80">
        <v>20112</v>
      </c>
      <c r="P202" s="88">
        <f t="shared" si="34"/>
        <v>136.63043478260872</v>
      </c>
      <c r="Q202" s="90" t="s">
        <v>894</v>
      </c>
    </row>
    <row r="203" spans="1:17" ht="16.350000000000001" customHeight="1" x14ac:dyDescent="0.2">
      <c r="A203" s="63" t="s">
        <v>64</v>
      </c>
      <c r="B203" s="114">
        <v>226.3</v>
      </c>
      <c r="C203" s="83">
        <v>11276.93</v>
      </c>
      <c r="D203" s="657">
        <f t="shared" si="32"/>
        <v>49.831771984091915</v>
      </c>
      <c r="E203" s="90" t="s">
        <v>899</v>
      </c>
      <c r="G203" s="63" t="s">
        <v>64</v>
      </c>
      <c r="H203" s="114">
        <v>164.1</v>
      </c>
      <c r="I203" s="80">
        <v>5586.11</v>
      </c>
      <c r="J203" s="88">
        <f t="shared" ref="J203:J206" si="35">I203/H203</f>
        <v>34.040889701401582</v>
      </c>
      <c r="K203" s="90" t="s">
        <v>773</v>
      </c>
      <c r="M203" s="63" t="s">
        <v>64</v>
      </c>
      <c r="N203" s="114">
        <v>149.9</v>
      </c>
      <c r="O203" s="83">
        <v>20238.11</v>
      </c>
      <c r="P203" s="657">
        <f t="shared" si="34"/>
        <v>135.01074049366244</v>
      </c>
      <c r="Q203" s="90" t="s">
        <v>898</v>
      </c>
    </row>
    <row r="204" spans="1:17" ht="16.350000000000001" customHeight="1" x14ac:dyDescent="0.2">
      <c r="A204" s="63" t="s">
        <v>66</v>
      </c>
      <c r="B204" s="114">
        <v>118.2</v>
      </c>
      <c r="C204" s="80">
        <v>6443.81</v>
      </c>
      <c r="D204" s="657">
        <f t="shared" si="32"/>
        <v>54.516159052453467</v>
      </c>
      <c r="E204" s="352" t="s">
        <v>903</v>
      </c>
      <c r="G204" s="63" t="s">
        <v>66</v>
      </c>
      <c r="H204" s="114">
        <v>104.5</v>
      </c>
      <c r="I204" s="83">
        <v>5428.07</v>
      </c>
      <c r="J204" s="88">
        <f t="shared" si="35"/>
        <v>51.943253588516747</v>
      </c>
      <c r="K204" s="90" t="s">
        <v>900</v>
      </c>
      <c r="M204" s="63" t="s">
        <v>66</v>
      </c>
      <c r="N204" s="114">
        <v>102.1</v>
      </c>
      <c r="O204" s="80">
        <v>16275.65</v>
      </c>
      <c r="P204" s="88">
        <f t="shared" si="34"/>
        <v>159.40891283055828</v>
      </c>
      <c r="Q204" s="90" t="s">
        <v>907</v>
      </c>
    </row>
    <row r="205" spans="1:17" ht="16.350000000000001" customHeight="1" x14ac:dyDescent="0.2">
      <c r="A205" s="63" t="s">
        <v>56</v>
      </c>
      <c r="B205" s="114">
        <v>128.30000000000001</v>
      </c>
      <c r="C205" s="83">
        <v>5714.05</v>
      </c>
      <c r="D205" s="657">
        <f t="shared" si="32"/>
        <v>44.536632891660169</v>
      </c>
      <c r="E205" s="90" t="s">
        <v>904</v>
      </c>
      <c r="G205" s="63" t="s">
        <v>56</v>
      </c>
      <c r="H205" s="114">
        <v>99.8</v>
      </c>
      <c r="I205" s="83">
        <v>5409.54</v>
      </c>
      <c r="J205" s="88">
        <f t="shared" si="35"/>
        <v>54.20380761523046</v>
      </c>
      <c r="K205" s="414" t="s">
        <v>905</v>
      </c>
      <c r="M205" s="63" t="s">
        <v>56</v>
      </c>
      <c r="N205" s="114">
        <v>122.1</v>
      </c>
      <c r="O205" s="80">
        <v>20941.740000000002</v>
      </c>
      <c r="P205" s="88">
        <f t="shared" si="34"/>
        <v>171.51302211302215</v>
      </c>
      <c r="Q205" s="90" t="s">
        <v>808</v>
      </c>
    </row>
    <row r="206" spans="1:17" ht="16.350000000000001" customHeight="1" x14ac:dyDescent="0.2">
      <c r="A206" s="102" t="s">
        <v>59</v>
      </c>
      <c r="B206" s="115">
        <v>33.1</v>
      </c>
      <c r="C206" s="131">
        <v>3685.56</v>
      </c>
      <c r="D206" s="689">
        <f t="shared" si="32"/>
        <v>111.34622356495467</v>
      </c>
      <c r="E206" s="95" t="s">
        <v>914</v>
      </c>
      <c r="G206" s="102" t="s">
        <v>59</v>
      </c>
      <c r="H206" s="115">
        <v>51.4</v>
      </c>
      <c r="I206" s="131">
        <v>3956.13</v>
      </c>
      <c r="J206" s="72">
        <f t="shared" si="35"/>
        <v>76.967509727626464</v>
      </c>
      <c r="K206" s="415" t="s">
        <v>906</v>
      </c>
      <c r="M206" s="102" t="s">
        <v>59</v>
      </c>
      <c r="N206" s="115">
        <v>63</v>
      </c>
      <c r="O206" s="70">
        <v>11656.3</v>
      </c>
      <c r="P206" s="72">
        <f t="shared" si="34"/>
        <v>185.0206349206349</v>
      </c>
      <c r="Q206" s="95" t="s">
        <v>931</v>
      </c>
    </row>
    <row r="207" spans="1:17" ht="16.350000000000001" customHeight="1" x14ac:dyDescent="0.35">
      <c r="A207" s="63" t="s">
        <v>30</v>
      </c>
      <c r="B207" s="134">
        <f>SUM(B195:B206)</f>
        <v>1648.3</v>
      </c>
      <c r="C207" s="84">
        <f>SUM(C195:C206)</f>
        <v>80080.740000000005</v>
      </c>
      <c r="D207" s="84">
        <f>C207/SUM(B195:B206)</f>
        <v>48.583837893587337</v>
      </c>
      <c r="E207" s="550"/>
      <c r="G207" s="63" t="s">
        <v>30</v>
      </c>
      <c r="H207" s="134">
        <f>SUM(H195:H206)</f>
        <v>1350.5</v>
      </c>
      <c r="I207" s="84">
        <f>SUM(I195:I206)</f>
        <v>52905.85</v>
      </c>
      <c r="J207" s="88">
        <f>I207/SUM(H195:H206)</f>
        <v>39.175009255831171</v>
      </c>
      <c r="K207" s="551"/>
      <c r="M207" s="63" t="s">
        <v>30</v>
      </c>
      <c r="N207" s="134">
        <f>SUM(N195:N206)</f>
        <v>1331.357</v>
      </c>
      <c r="O207" s="84">
        <f>SUM(O195:O206)</f>
        <v>196546.41999999995</v>
      </c>
      <c r="P207" s="84">
        <f>O207/SUM(N195:N206)</f>
        <v>147.62863754800551</v>
      </c>
      <c r="Q207" s="140"/>
    </row>
    <row r="209" spans="1:17" ht="16.350000000000001" customHeight="1" x14ac:dyDescent="0.25">
      <c r="A209" s="59"/>
      <c r="B209" s="81"/>
      <c r="C209" s="77">
        <v>2010</v>
      </c>
      <c r="D209" s="87"/>
      <c r="E209" s="86"/>
      <c r="G209" s="59"/>
      <c r="H209" s="81"/>
      <c r="I209" s="77">
        <v>2010</v>
      </c>
      <c r="J209" s="28"/>
      <c r="K209" s="86"/>
      <c r="M209" s="59"/>
      <c r="N209" s="81"/>
      <c r="O209" s="77">
        <v>2010</v>
      </c>
      <c r="P209" s="28"/>
      <c r="Q209" s="86"/>
    </row>
    <row r="210" spans="1:17" ht="16.350000000000001" customHeight="1" x14ac:dyDescent="0.2">
      <c r="A210" s="101"/>
      <c r="B210" s="23" t="s">
        <v>850</v>
      </c>
      <c r="C210" s="23" t="s">
        <v>848</v>
      </c>
      <c r="D210" s="688" t="s">
        <v>106</v>
      </c>
      <c r="E210" s="100"/>
      <c r="G210" s="120"/>
      <c r="H210" s="23" t="s">
        <v>850</v>
      </c>
      <c r="I210" s="23" t="s">
        <v>848</v>
      </c>
      <c r="J210" s="23" t="s">
        <v>106</v>
      </c>
      <c r="K210" s="100"/>
      <c r="M210" s="101"/>
      <c r="N210" s="23" t="s">
        <v>850</v>
      </c>
      <c r="O210" s="23" t="s">
        <v>848</v>
      </c>
      <c r="P210" s="23" t="s">
        <v>106</v>
      </c>
      <c r="Q210" s="100"/>
    </row>
    <row r="211" spans="1:17" ht="16.350000000000001" customHeight="1" x14ac:dyDescent="0.2">
      <c r="A211" s="63" t="s">
        <v>54</v>
      </c>
      <c r="B211" s="114">
        <v>33.700000000000003</v>
      </c>
      <c r="C211" s="83">
        <v>2593.67</v>
      </c>
      <c r="D211" s="84">
        <f>C211/B211</f>
        <v>76.963501483679522</v>
      </c>
      <c r="E211" s="413" t="s">
        <v>815</v>
      </c>
      <c r="G211" s="63" t="s">
        <v>54</v>
      </c>
      <c r="H211" s="114">
        <v>44.8</v>
      </c>
      <c r="I211" s="83">
        <v>2740.06</v>
      </c>
      <c r="J211" s="375">
        <f t="shared" ref="J211:J222" si="36">I211/H211</f>
        <v>61.162053571428572</v>
      </c>
      <c r="K211" s="413" t="s">
        <v>933</v>
      </c>
      <c r="M211" s="63" t="s">
        <v>54</v>
      </c>
      <c r="N211" s="114">
        <v>64.150000000000006</v>
      </c>
      <c r="O211" s="83">
        <v>12270.43</v>
      </c>
      <c r="P211" s="375">
        <f>O211/N211</f>
        <v>191.2771628994544</v>
      </c>
      <c r="Q211" s="413" t="s">
        <v>937</v>
      </c>
    </row>
    <row r="212" spans="1:17" ht="16.350000000000001" customHeight="1" x14ac:dyDescent="0.2">
      <c r="A212" s="63" t="s">
        <v>55</v>
      </c>
      <c r="B212" s="114">
        <v>0</v>
      </c>
      <c r="C212" s="80">
        <v>322.77</v>
      </c>
      <c r="D212" s="84">
        <v>0</v>
      </c>
      <c r="E212" s="413" t="s">
        <v>818</v>
      </c>
      <c r="G212" s="63" t="s">
        <v>55</v>
      </c>
      <c r="H212" s="114">
        <v>27.2</v>
      </c>
      <c r="I212" s="83">
        <v>2196.41</v>
      </c>
      <c r="J212" s="375">
        <f t="shared" si="36"/>
        <v>80.750367647058823</v>
      </c>
      <c r="K212" s="90" t="s">
        <v>819</v>
      </c>
      <c r="M212" s="63" t="s">
        <v>55</v>
      </c>
      <c r="N212" s="114">
        <v>41.25</v>
      </c>
      <c r="O212" s="83">
        <v>9262.93</v>
      </c>
      <c r="P212" s="375">
        <f>O212/N212</f>
        <v>224.55587878787878</v>
      </c>
      <c r="Q212" s="90" t="s">
        <v>938</v>
      </c>
    </row>
    <row r="213" spans="1:17" ht="16.350000000000001" customHeight="1" x14ac:dyDescent="0.2">
      <c r="A213" s="63" t="s">
        <v>58</v>
      </c>
      <c r="B213" s="114">
        <v>49.7</v>
      </c>
      <c r="C213" s="83">
        <v>3296.69</v>
      </c>
      <c r="D213" s="84">
        <f t="shared" ref="D213:D222" si="37">C213/B213</f>
        <v>66.331790744466801</v>
      </c>
      <c r="E213" s="90" t="s">
        <v>939</v>
      </c>
      <c r="G213" s="63" t="s">
        <v>58</v>
      </c>
      <c r="H213" s="171">
        <v>65.7</v>
      </c>
      <c r="I213" s="83">
        <v>2406.0300000000002</v>
      </c>
      <c r="J213" s="375">
        <f t="shared" si="36"/>
        <v>36.621461187214614</v>
      </c>
      <c r="K213" s="89" t="s">
        <v>471</v>
      </c>
      <c r="M213" s="63" t="s">
        <v>58</v>
      </c>
      <c r="N213" s="114">
        <v>63.2</v>
      </c>
      <c r="O213" s="83">
        <v>12509.81</v>
      </c>
      <c r="P213" s="375">
        <f>O213/N213</f>
        <v>197.9400316455696</v>
      </c>
      <c r="Q213" s="132" t="s">
        <v>826</v>
      </c>
    </row>
    <row r="214" spans="1:17" ht="16.350000000000001" customHeight="1" x14ac:dyDescent="0.2">
      <c r="A214" s="63" t="s">
        <v>61</v>
      </c>
      <c r="B214" s="114">
        <v>39.1</v>
      </c>
      <c r="C214" s="83">
        <v>2869.78</v>
      </c>
      <c r="D214" s="84">
        <f t="shared" si="37"/>
        <v>73.395907928388752</v>
      </c>
      <c r="E214" s="90" t="s">
        <v>941</v>
      </c>
      <c r="G214" s="63" t="s">
        <v>61</v>
      </c>
      <c r="H214" s="171">
        <v>78.3</v>
      </c>
      <c r="I214" s="83">
        <v>3783.61</v>
      </c>
      <c r="J214" s="375">
        <f t="shared" si="36"/>
        <v>48.321966794380593</v>
      </c>
      <c r="K214" s="89" t="s">
        <v>942</v>
      </c>
      <c r="M214" s="63" t="s">
        <v>61</v>
      </c>
      <c r="N214" s="114">
        <v>76.8</v>
      </c>
      <c r="O214" s="83">
        <v>14293.7</v>
      </c>
      <c r="P214" s="375">
        <f t="shared" ref="P214:P222" si="38">O214/N214</f>
        <v>186.11588541666669</v>
      </c>
      <c r="Q214" s="132" t="s">
        <v>277</v>
      </c>
    </row>
    <row r="215" spans="1:17" ht="16.350000000000001" customHeight="1" x14ac:dyDescent="0.2">
      <c r="A215" s="63" t="s">
        <v>63</v>
      </c>
      <c r="B215" s="114">
        <v>140.6</v>
      </c>
      <c r="C215" s="83">
        <v>5315.61</v>
      </c>
      <c r="D215" s="84">
        <f t="shared" si="37"/>
        <v>37.806614509246089</v>
      </c>
      <c r="E215" s="132" t="s">
        <v>949</v>
      </c>
      <c r="G215" s="63" t="s">
        <v>63</v>
      </c>
      <c r="H215" s="171">
        <v>130.5</v>
      </c>
      <c r="I215" s="83">
        <v>3978.82</v>
      </c>
      <c r="J215" s="375">
        <f t="shared" si="36"/>
        <v>30.489042145593871</v>
      </c>
      <c r="K215" s="89" t="s">
        <v>487</v>
      </c>
      <c r="M215" s="63" t="s">
        <v>63</v>
      </c>
      <c r="N215" s="114">
        <v>108.6</v>
      </c>
      <c r="O215" s="83">
        <v>17890.25</v>
      </c>
      <c r="P215" s="375">
        <f t="shared" si="38"/>
        <v>164.73526703499081</v>
      </c>
      <c r="Q215" s="90" t="s">
        <v>943</v>
      </c>
    </row>
    <row r="216" spans="1:17" ht="16.350000000000001" customHeight="1" x14ac:dyDescent="0.2">
      <c r="A216" s="63" t="s">
        <v>65</v>
      </c>
      <c r="B216" s="114">
        <v>152</v>
      </c>
      <c r="C216" s="83">
        <v>9311.07</v>
      </c>
      <c r="D216" s="657">
        <f t="shared" si="37"/>
        <v>61.257039473684209</v>
      </c>
      <c r="E216" s="90" t="s">
        <v>951</v>
      </c>
      <c r="G216" s="63" t="s">
        <v>65</v>
      </c>
      <c r="H216" s="114">
        <v>136.1</v>
      </c>
      <c r="I216" s="83">
        <v>4837.2700000000004</v>
      </c>
      <c r="J216" s="88">
        <f t="shared" si="36"/>
        <v>35.542027920646589</v>
      </c>
      <c r="K216" s="89" t="s">
        <v>491</v>
      </c>
      <c r="M216" s="63" t="s">
        <v>65</v>
      </c>
      <c r="N216" s="114">
        <v>112.4</v>
      </c>
      <c r="O216" s="80">
        <v>16897.72</v>
      </c>
      <c r="P216" s="88">
        <f t="shared" si="38"/>
        <v>150.3355871886121</v>
      </c>
      <c r="Q216" s="90" t="s">
        <v>601</v>
      </c>
    </row>
    <row r="217" spans="1:17" ht="16.350000000000001" customHeight="1" x14ac:dyDescent="0.2">
      <c r="A217" s="63" t="s">
        <v>67</v>
      </c>
      <c r="B217" s="114">
        <v>170.7</v>
      </c>
      <c r="C217" s="83">
        <v>10860.56</v>
      </c>
      <c r="D217" s="657">
        <f t="shared" si="37"/>
        <v>63.623667252489753</v>
      </c>
      <c r="E217" s="90" t="s">
        <v>956</v>
      </c>
      <c r="G217" s="63" t="s">
        <v>67</v>
      </c>
      <c r="H217" s="114">
        <v>151.19999999999999</v>
      </c>
      <c r="I217" s="80">
        <v>5256.62</v>
      </c>
      <c r="J217" s="88">
        <f t="shared" si="36"/>
        <v>34.766005291005293</v>
      </c>
      <c r="K217" s="89" t="s">
        <v>955</v>
      </c>
      <c r="M217" s="63" t="s">
        <v>67</v>
      </c>
      <c r="N217" s="114">
        <v>138.5</v>
      </c>
      <c r="O217" s="80">
        <v>20251.78</v>
      </c>
      <c r="P217" s="88">
        <f t="shared" si="38"/>
        <v>146.22223826714801</v>
      </c>
      <c r="Q217" s="90" t="s">
        <v>602</v>
      </c>
    </row>
    <row r="218" spans="1:17" ht="16.350000000000001" customHeight="1" x14ac:dyDescent="0.2">
      <c r="A218" s="63" t="s">
        <v>62</v>
      </c>
      <c r="B218" s="114">
        <v>268.5</v>
      </c>
      <c r="C218" s="83">
        <v>13587.49</v>
      </c>
      <c r="D218" s="657">
        <f t="shared" si="37"/>
        <v>50.605176908752327</v>
      </c>
      <c r="E218" s="90" t="s">
        <v>953</v>
      </c>
      <c r="G218" s="63" t="s">
        <v>62</v>
      </c>
      <c r="H218" s="114">
        <v>166.7</v>
      </c>
      <c r="I218" s="80">
        <v>5124.1899999999996</v>
      </c>
      <c r="J218" s="88">
        <f t="shared" si="36"/>
        <v>30.738992201559689</v>
      </c>
      <c r="K218" s="90" t="s">
        <v>954</v>
      </c>
      <c r="M218" s="63" t="s">
        <v>62</v>
      </c>
      <c r="N218" s="114">
        <v>134.6</v>
      </c>
      <c r="O218" s="80">
        <v>19426.060000000001</v>
      </c>
      <c r="P218" s="88">
        <f t="shared" si="38"/>
        <v>144.32436849925708</v>
      </c>
      <c r="Q218" s="90" t="s">
        <v>957</v>
      </c>
    </row>
    <row r="219" spans="1:17" ht="16.350000000000001" customHeight="1" x14ac:dyDescent="0.2">
      <c r="A219" s="63" t="s">
        <v>64</v>
      </c>
      <c r="B219" s="114">
        <v>257.7</v>
      </c>
      <c r="C219" s="80">
        <v>13551.05</v>
      </c>
      <c r="D219" s="657">
        <f t="shared" si="37"/>
        <v>52.584594489716721</v>
      </c>
      <c r="E219" s="90" t="s">
        <v>959</v>
      </c>
      <c r="G219" s="63" t="s">
        <v>64</v>
      </c>
      <c r="H219" s="114">
        <v>149.19999999999999</v>
      </c>
      <c r="I219" s="80">
        <v>5568.27</v>
      </c>
      <c r="J219" s="88">
        <f t="shared" si="36"/>
        <v>37.320844504021451</v>
      </c>
      <c r="K219" s="90" t="s">
        <v>603</v>
      </c>
      <c r="M219" s="63" t="s">
        <v>64</v>
      </c>
      <c r="N219" s="114">
        <v>132.69999999999999</v>
      </c>
      <c r="O219" s="83">
        <v>20865.45</v>
      </c>
      <c r="P219" s="657">
        <f t="shared" si="38"/>
        <v>157.23775433308217</v>
      </c>
      <c r="Q219" s="90" t="s">
        <v>960</v>
      </c>
    </row>
    <row r="220" spans="1:17" ht="16.350000000000001" customHeight="1" x14ac:dyDescent="0.2">
      <c r="A220" s="63" t="s">
        <v>66</v>
      </c>
      <c r="B220" s="114">
        <v>121</v>
      </c>
      <c r="C220" s="80">
        <v>8074.5</v>
      </c>
      <c r="D220" s="657">
        <f t="shared" si="37"/>
        <v>66.731404958677686</v>
      </c>
      <c r="E220" s="352" t="s">
        <v>961</v>
      </c>
      <c r="G220" s="63" t="s">
        <v>66</v>
      </c>
      <c r="H220" s="114">
        <v>82.7</v>
      </c>
      <c r="I220" s="83">
        <v>5024.2299999999996</v>
      </c>
      <c r="J220" s="88">
        <f t="shared" si="36"/>
        <v>60.752478839177741</v>
      </c>
      <c r="K220" s="90" t="s">
        <v>573</v>
      </c>
      <c r="M220" s="63" t="s">
        <v>66</v>
      </c>
      <c r="N220" s="114">
        <v>80.7</v>
      </c>
      <c r="O220" s="80">
        <v>13782.41</v>
      </c>
      <c r="P220" s="88">
        <f t="shared" si="38"/>
        <v>170.78574969021065</v>
      </c>
      <c r="Q220" s="90" t="s">
        <v>453</v>
      </c>
    </row>
    <row r="221" spans="1:17" ht="16.350000000000001" customHeight="1" x14ac:dyDescent="0.2">
      <c r="A221" s="63" t="s">
        <v>56</v>
      </c>
      <c r="B221" s="114">
        <v>128.4</v>
      </c>
      <c r="C221" s="83">
        <v>6184.9</v>
      </c>
      <c r="D221" s="657">
        <f t="shared" si="37"/>
        <v>48.169003115264793</v>
      </c>
      <c r="E221" s="90" t="s">
        <v>963</v>
      </c>
      <c r="G221" s="63" t="s">
        <v>56</v>
      </c>
      <c r="H221" s="114">
        <v>75.2</v>
      </c>
      <c r="I221" s="83">
        <v>3906.1</v>
      </c>
      <c r="J221" s="88">
        <f t="shared" si="36"/>
        <v>51.942819148936167</v>
      </c>
      <c r="K221" s="414" t="s">
        <v>964</v>
      </c>
      <c r="M221" s="63" t="s">
        <v>56</v>
      </c>
      <c r="N221" s="114">
        <v>76</v>
      </c>
      <c r="O221" s="80">
        <v>15113.83</v>
      </c>
      <c r="P221" s="88">
        <f t="shared" si="38"/>
        <v>198.86618421052631</v>
      </c>
      <c r="Q221" s="90" t="s">
        <v>454</v>
      </c>
    </row>
    <row r="222" spans="1:17" ht="16.350000000000001" customHeight="1" x14ac:dyDescent="0.2">
      <c r="A222" s="102" t="s">
        <v>59</v>
      </c>
      <c r="B222" s="115">
        <v>52.1</v>
      </c>
      <c r="C222" s="795">
        <v>4413.8</v>
      </c>
      <c r="D222" s="689">
        <f t="shared" si="37"/>
        <v>84.717850287907865</v>
      </c>
      <c r="E222" s="95" t="s">
        <v>969</v>
      </c>
      <c r="G222" s="102" t="s">
        <v>59</v>
      </c>
      <c r="H222" s="115">
        <v>40.700000000000003</v>
      </c>
      <c r="I222" s="131">
        <v>3309.06</v>
      </c>
      <c r="J222" s="72">
        <f t="shared" si="36"/>
        <v>81.3036855036855</v>
      </c>
      <c r="K222" s="415" t="s">
        <v>970</v>
      </c>
      <c r="M222" s="102" t="s">
        <v>59</v>
      </c>
      <c r="N222" s="115">
        <v>50.4</v>
      </c>
      <c r="O222" s="70">
        <v>10887.34</v>
      </c>
      <c r="P222" s="72">
        <f t="shared" si="38"/>
        <v>216.01865079365081</v>
      </c>
      <c r="Q222" s="95" t="s">
        <v>584</v>
      </c>
    </row>
    <row r="223" spans="1:17" ht="16.350000000000001" customHeight="1" x14ac:dyDescent="0.35">
      <c r="A223" s="63" t="s">
        <v>30</v>
      </c>
      <c r="B223" s="134">
        <f>SUM(B211:B222)</f>
        <v>1413.5</v>
      </c>
      <c r="C223" s="84">
        <f>SUM(C211:C222)</f>
        <v>80381.89</v>
      </c>
      <c r="D223" s="84">
        <f>C223/SUM(B211:B222)</f>
        <v>56.867272727272727</v>
      </c>
      <c r="E223" s="550"/>
      <c r="G223" s="63" t="s">
        <v>30</v>
      </c>
      <c r="H223" s="134">
        <f>SUM(H211:H222)</f>
        <v>1148.3000000000002</v>
      </c>
      <c r="I223" s="84">
        <f>SUM(I211:I222)</f>
        <v>48130.669999999991</v>
      </c>
      <c r="J223" s="88">
        <f>I223/SUM(H211:H222)</f>
        <v>41.914717408342753</v>
      </c>
      <c r="K223" s="551"/>
      <c r="M223" s="63" t="s">
        <v>30</v>
      </c>
      <c r="N223" s="134">
        <f>SUM(N211:N222)</f>
        <v>1079.3000000000002</v>
      </c>
      <c r="O223" s="84">
        <f>SUM(O211:O222)</f>
        <v>183451.71</v>
      </c>
      <c r="P223" s="84">
        <f>O223/SUM(N211:N222)</f>
        <v>169.97286204021123</v>
      </c>
      <c r="Q223" s="140"/>
    </row>
    <row r="224" spans="1:17" ht="16.350000000000001" customHeight="1" x14ac:dyDescent="0.25">
      <c r="C224" s="68"/>
      <c r="I224" s="68"/>
    </row>
    <row r="225" spans="1:17" ht="16.350000000000001" customHeight="1" x14ac:dyDescent="0.25">
      <c r="A225" s="800"/>
      <c r="B225" s="366"/>
      <c r="C225" s="801"/>
      <c r="D225" s="802"/>
      <c r="E225" s="366"/>
      <c r="F225" s="366"/>
      <c r="G225" s="366"/>
      <c r="H225" s="366"/>
      <c r="I225" s="366"/>
      <c r="J225" s="366"/>
      <c r="K225" s="366"/>
      <c r="L225" s="366"/>
      <c r="M225" s="366"/>
      <c r="N225" s="366"/>
      <c r="O225" s="366"/>
      <c r="P225" s="366"/>
      <c r="Q225" s="803"/>
    </row>
    <row r="226" spans="1:17" ht="16.350000000000001" customHeight="1" x14ac:dyDescent="0.25">
      <c r="A226" s="59"/>
      <c r="B226" s="81"/>
      <c r="C226" s="77">
        <v>2011</v>
      </c>
      <c r="D226" s="87"/>
      <c r="E226" s="86"/>
      <c r="G226" s="59"/>
      <c r="H226" s="81"/>
      <c r="I226" s="77">
        <v>2011</v>
      </c>
      <c r="J226" s="28"/>
      <c r="K226" s="86"/>
      <c r="M226" s="59"/>
      <c r="N226" s="81"/>
      <c r="O226" s="77">
        <v>2011</v>
      </c>
      <c r="P226" s="28"/>
      <c r="Q226" s="804"/>
    </row>
    <row r="227" spans="1:17" ht="16.350000000000001" customHeight="1" x14ac:dyDescent="0.2">
      <c r="A227" s="101"/>
      <c r="B227" s="23" t="s">
        <v>850</v>
      </c>
      <c r="C227" s="23" t="s">
        <v>848</v>
      </c>
      <c r="D227" s="688" t="s">
        <v>106</v>
      </c>
      <c r="E227" s="100"/>
      <c r="G227" s="120"/>
      <c r="H227" s="23" t="s">
        <v>850</v>
      </c>
      <c r="I227" s="23" t="s">
        <v>848</v>
      </c>
      <c r="J227" s="23" t="s">
        <v>106</v>
      </c>
      <c r="K227" s="100"/>
      <c r="M227" s="101"/>
      <c r="N227" s="23" t="s">
        <v>850</v>
      </c>
      <c r="O227" s="23" t="s">
        <v>848</v>
      </c>
      <c r="P227" s="23" t="s">
        <v>106</v>
      </c>
      <c r="Q227" s="805"/>
    </row>
    <row r="228" spans="1:17" ht="16.350000000000001" customHeight="1" x14ac:dyDescent="0.2">
      <c r="A228" s="63" t="s">
        <v>54</v>
      </c>
      <c r="B228" s="114">
        <v>93.2</v>
      </c>
      <c r="C228" s="83">
        <v>4555.05</v>
      </c>
      <c r="D228" s="84">
        <f t="shared" ref="D228:D239" si="39">C228/B228</f>
        <v>48.873927038626611</v>
      </c>
      <c r="E228" s="413" t="s">
        <v>971</v>
      </c>
      <c r="G228" s="63" t="s">
        <v>54</v>
      </c>
      <c r="H228" s="114">
        <v>49.6</v>
      </c>
      <c r="I228" s="83">
        <v>2554.5500000000002</v>
      </c>
      <c r="J228" s="375">
        <f t="shared" ref="J228:J239" si="40">I228/H228</f>
        <v>51.503024193548391</v>
      </c>
      <c r="K228" s="413" t="s">
        <v>972</v>
      </c>
      <c r="M228" s="63" t="s">
        <v>54</v>
      </c>
      <c r="N228" s="114">
        <v>68.3</v>
      </c>
      <c r="O228" s="83">
        <v>11822.03</v>
      </c>
      <c r="P228" s="375">
        <f t="shared" ref="P228:P239" si="41">O228/N228</f>
        <v>173.08975109809666</v>
      </c>
      <c r="Q228" s="806" t="s">
        <v>973</v>
      </c>
    </row>
    <row r="229" spans="1:17" ht="16.350000000000001" customHeight="1" x14ac:dyDescent="0.2">
      <c r="A229" s="63" t="s">
        <v>55</v>
      </c>
      <c r="B229" s="114">
        <v>77.400000000000006</v>
      </c>
      <c r="C229" s="80">
        <v>5422.75</v>
      </c>
      <c r="D229" s="84">
        <f t="shared" si="39"/>
        <v>70.061369509043928</v>
      </c>
      <c r="E229" s="413" t="s">
        <v>975</v>
      </c>
      <c r="G229" s="63" t="s">
        <v>55</v>
      </c>
      <c r="H229" s="114">
        <v>52</v>
      </c>
      <c r="I229" s="83">
        <v>3408.43</v>
      </c>
      <c r="J229" s="375">
        <f t="shared" si="40"/>
        <v>65.546730769230763</v>
      </c>
      <c r="K229" s="90" t="s">
        <v>976</v>
      </c>
      <c r="M229" s="63" t="s">
        <v>55</v>
      </c>
      <c r="N229" s="114">
        <v>54.5</v>
      </c>
      <c r="O229" s="83">
        <v>11654.22</v>
      </c>
      <c r="P229" s="375">
        <f t="shared" si="41"/>
        <v>213.83889908256879</v>
      </c>
      <c r="Q229" s="807" t="s">
        <v>595</v>
      </c>
    </row>
    <row r="230" spans="1:17" ht="16.350000000000001" customHeight="1" x14ac:dyDescent="0.2">
      <c r="A230" s="63" t="s">
        <v>58</v>
      </c>
      <c r="B230" s="114">
        <v>55.3</v>
      </c>
      <c r="C230" s="83">
        <v>4308.53</v>
      </c>
      <c r="D230" s="84">
        <f t="shared" si="39"/>
        <v>77.911934900542491</v>
      </c>
      <c r="E230" s="413" t="s">
        <v>980</v>
      </c>
      <c r="G230" s="63" t="s">
        <v>58</v>
      </c>
      <c r="H230" s="91">
        <v>46.5</v>
      </c>
      <c r="I230" s="83">
        <v>2658.16</v>
      </c>
      <c r="J230" s="375">
        <f t="shared" si="40"/>
        <v>57.164731182795698</v>
      </c>
      <c r="K230" s="89" t="s">
        <v>981</v>
      </c>
      <c r="M230" s="63" t="s">
        <v>58</v>
      </c>
      <c r="N230" s="114">
        <v>52.9</v>
      </c>
      <c r="O230" s="83">
        <v>10948.35</v>
      </c>
      <c r="P230" s="375">
        <f t="shared" si="41"/>
        <v>206.9631379962193</v>
      </c>
      <c r="Q230" s="808" t="s">
        <v>597</v>
      </c>
    </row>
    <row r="231" spans="1:17" ht="16.350000000000001" customHeight="1" x14ac:dyDescent="0.2">
      <c r="A231" s="63" t="s">
        <v>61</v>
      </c>
      <c r="B231" s="114">
        <v>13.6</v>
      </c>
      <c r="C231" s="83">
        <v>2100.44</v>
      </c>
      <c r="D231" s="84">
        <f t="shared" si="39"/>
        <v>154.44411764705882</v>
      </c>
      <c r="E231" s="413" t="s">
        <v>982</v>
      </c>
      <c r="G231" s="63" t="s">
        <v>61</v>
      </c>
      <c r="H231" s="91">
        <v>83</v>
      </c>
      <c r="I231" s="83">
        <v>3349.77</v>
      </c>
      <c r="J231" s="375">
        <f t="shared" si="40"/>
        <v>40.358674698795177</v>
      </c>
      <c r="K231" s="89" t="s">
        <v>984</v>
      </c>
      <c r="M231" s="63" t="s">
        <v>61</v>
      </c>
      <c r="N231" s="114">
        <v>78</v>
      </c>
      <c r="O231" s="83">
        <v>13716.04</v>
      </c>
      <c r="P231" s="375">
        <f t="shared" si="41"/>
        <v>175.84666666666666</v>
      </c>
      <c r="Q231" s="808" t="s">
        <v>484</v>
      </c>
    </row>
    <row r="232" spans="1:17" ht="16.350000000000001" customHeight="1" x14ac:dyDescent="0.2">
      <c r="A232" s="63" t="s">
        <v>63</v>
      </c>
      <c r="B232" s="114">
        <v>133.9</v>
      </c>
      <c r="C232" s="83">
        <v>6249.85</v>
      </c>
      <c r="D232" s="84">
        <f t="shared" si="39"/>
        <v>46.675504107542942</v>
      </c>
      <c r="E232" s="413" t="s">
        <v>983</v>
      </c>
      <c r="G232" s="63" t="s">
        <v>63</v>
      </c>
      <c r="H232" s="91">
        <v>124.4</v>
      </c>
      <c r="I232" s="83">
        <v>4402.6400000000003</v>
      </c>
      <c r="J232" s="375">
        <f t="shared" si="40"/>
        <v>35.390996784565914</v>
      </c>
      <c r="K232" s="89" t="s">
        <v>378</v>
      </c>
      <c r="M232" s="63" t="s">
        <v>63</v>
      </c>
      <c r="N232" s="114">
        <v>105.1</v>
      </c>
      <c r="O232" s="83">
        <v>17952.27</v>
      </c>
      <c r="P232" s="375">
        <f t="shared" si="41"/>
        <v>170.81132254995245</v>
      </c>
      <c r="Q232" s="807" t="s">
        <v>598</v>
      </c>
    </row>
    <row r="233" spans="1:17" ht="16.350000000000001" customHeight="1" x14ac:dyDescent="0.2">
      <c r="A233" s="63" t="s">
        <v>65</v>
      </c>
      <c r="B233" s="114">
        <v>23.9</v>
      </c>
      <c r="C233" s="83">
        <v>5328.91</v>
      </c>
      <c r="D233" s="657">
        <f t="shared" si="39"/>
        <v>222.96694560669457</v>
      </c>
      <c r="E233" s="413" t="s">
        <v>985</v>
      </c>
      <c r="G233" s="63" t="s">
        <v>65</v>
      </c>
      <c r="H233" s="114">
        <v>119.5</v>
      </c>
      <c r="I233" s="83">
        <v>4475.43</v>
      </c>
      <c r="J233" s="88">
        <f t="shared" si="40"/>
        <v>37.451297071129709</v>
      </c>
      <c r="K233" s="89" t="s">
        <v>986</v>
      </c>
      <c r="M233" s="63" t="s">
        <v>65</v>
      </c>
      <c r="N233" s="114">
        <v>103.7</v>
      </c>
      <c r="O233" s="80">
        <v>17784.89</v>
      </c>
      <c r="P233" s="88">
        <f t="shared" si="41"/>
        <v>171.50327868852457</v>
      </c>
      <c r="Q233" s="807" t="s">
        <v>690</v>
      </c>
    </row>
    <row r="234" spans="1:17" ht="16.350000000000001" customHeight="1" x14ac:dyDescent="0.2">
      <c r="A234" s="63" t="s">
        <v>67</v>
      </c>
      <c r="B234" s="114">
        <v>33</v>
      </c>
      <c r="C234" s="83">
        <v>5088.28</v>
      </c>
      <c r="D234" s="657">
        <f t="shared" si="39"/>
        <v>154.19030303030303</v>
      </c>
      <c r="E234" s="413" t="s">
        <v>987</v>
      </c>
      <c r="G234" s="63" t="s">
        <v>67</v>
      </c>
      <c r="H234" s="114">
        <v>157.69999999999999</v>
      </c>
      <c r="I234" s="80">
        <v>4681.42</v>
      </c>
      <c r="J234" s="88">
        <f t="shared" si="40"/>
        <v>29.685605580215601</v>
      </c>
      <c r="K234" s="89" t="s">
        <v>988</v>
      </c>
      <c r="M234" s="63" t="s">
        <v>67</v>
      </c>
      <c r="N234" s="114">
        <v>137.1</v>
      </c>
      <c r="O234" s="80">
        <v>17230.259999999998</v>
      </c>
      <c r="P234" s="88">
        <f t="shared" si="41"/>
        <v>125.67658643326038</v>
      </c>
      <c r="Q234" s="807" t="s">
        <v>497</v>
      </c>
    </row>
    <row r="235" spans="1:17" ht="16.350000000000001" customHeight="1" x14ac:dyDescent="0.2">
      <c r="A235" s="63" t="s">
        <v>62</v>
      </c>
      <c r="B235" s="114">
        <v>16.7</v>
      </c>
      <c r="C235" s="83">
        <v>2758.33</v>
      </c>
      <c r="D235" s="657">
        <f t="shared" si="39"/>
        <v>165.16946107784432</v>
      </c>
      <c r="E235" s="413" t="s">
        <v>991</v>
      </c>
      <c r="G235" s="63" t="s">
        <v>62</v>
      </c>
      <c r="H235" s="114">
        <v>159.4</v>
      </c>
      <c r="I235" s="80">
        <v>4750.26</v>
      </c>
      <c r="J235" s="88">
        <f t="shared" si="40"/>
        <v>29.800878293601006</v>
      </c>
      <c r="K235" s="90" t="s">
        <v>287</v>
      </c>
      <c r="M235" s="63" t="s">
        <v>62</v>
      </c>
      <c r="N235" s="114">
        <v>134.80000000000001</v>
      </c>
      <c r="O235" s="80">
        <v>17630.59</v>
      </c>
      <c r="P235" s="88">
        <f t="shared" si="41"/>
        <v>130.79072700296734</v>
      </c>
      <c r="Q235" s="807" t="s">
        <v>992</v>
      </c>
    </row>
    <row r="236" spans="1:17" ht="16.350000000000001" customHeight="1" x14ac:dyDescent="0.2">
      <c r="A236" s="63" t="s">
        <v>64</v>
      </c>
      <c r="B236" s="114">
        <v>19.8</v>
      </c>
      <c r="C236" s="80">
        <v>4825.57</v>
      </c>
      <c r="D236" s="657">
        <f t="shared" si="39"/>
        <v>243.71565656565653</v>
      </c>
      <c r="E236" s="413" t="s">
        <v>994</v>
      </c>
      <c r="G236" s="63" t="s">
        <v>64</v>
      </c>
      <c r="H236" s="114">
        <v>141.80000000000001</v>
      </c>
      <c r="I236" s="80">
        <v>5080.3599999999997</v>
      </c>
      <c r="J236" s="88">
        <f t="shared" si="40"/>
        <v>35.827644569816641</v>
      </c>
      <c r="K236" s="90" t="s">
        <v>502</v>
      </c>
      <c r="M236" s="63" t="s">
        <v>64</v>
      </c>
      <c r="N236" s="114">
        <v>133.30000000000001</v>
      </c>
      <c r="O236" s="83">
        <v>19021.759999999998</v>
      </c>
      <c r="P236" s="657">
        <f t="shared" si="41"/>
        <v>142.69887471867963</v>
      </c>
      <c r="Q236" s="807" t="s">
        <v>694</v>
      </c>
    </row>
    <row r="237" spans="1:17" ht="16.350000000000001" customHeight="1" x14ac:dyDescent="0.2">
      <c r="A237" s="63" t="s">
        <v>66</v>
      </c>
      <c r="B237" s="114">
        <v>1.7</v>
      </c>
      <c r="C237" s="80">
        <v>2151.64</v>
      </c>
      <c r="D237" s="657">
        <f t="shared" si="39"/>
        <v>1265.670588235294</v>
      </c>
      <c r="E237" s="413" t="s">
        <v>995</v>
      </c>
      <c r="G237" s="63" t="s">
        <v>66</v>
      </c>
      <c r="H237" s="114">
        <v>103</v>
      </c>
      <c r="I237" s="83">
        <v>4573.63</v>
      </c>
      <c r="J237" s="88">
        <f t="shared" si="40"/>
        <v>44.404174757281552</v>
      </c>
      <c r="K237" s="90" t="s">
        <v>996</v>
      </c>
      <c r="M237" s="63" t="s">
        <v>66</v>
      </c>
      <c r="N237" s="114">
        <v>109.2</v>
      </c>
      <c r="O237" s="80">
        <v>18347.52</v>
      </c>
      <c r="P237" s="88">
        <f t="shared" si="41"/>
        <v>168.01758241758242</v>
      </c>
      <c r="Q237" s="807" t="s">
        <v>999</v>
      </c>
    </row>
    <row r="238" spans="1:17" ht="16.350000000000001" customHeight="1" x14ac:dyDescent="0.2">
      <c r="A238" s="63" t="s">
        <v>56</v>
      </c>
      <c r="B238" s="114">
        <v>3.9</v>
      </c>
      <c r="C238" s="83">
        <v>1919.56</v>
      </c>
      <c r="D238" s="657">
        <f t="shared" si="39"/>
        <v>492.1948717948718</v>
      </c>
      <c r="E238" s="413" t="s">
        <v>963</v>
      </c>
      <c r="G238" s="63" t="s">
        <v>56</v>
      </c>
      <c r="H238" s="114">
        <v>53.6</v>
      </c>
      <c r="I238" s="83">
        <v>3927.2</v>
      </c>
      <c r="J238" s="88">
        <f t="shared" si="40"/>
        <v>73.268656716417908</v>
      </c>
      <c r="K238" s="414" t="s">
        <v>998</v>
      </c>
      <c r="M238" s="63" t="s">
        <v>56</v>
      </c>
      <c r="N238" s="114">
        <v>62.7</v>
      </c>
      <c r="O238" s="80">
        <v>12394.3</v>
      </c>
      <c r="P238" s="88">
        <f t="shared" si="41"/>
        <v>197.67623604465709</v>
      </c>
      <c r="Q238" s="807" t="s">
        <v>361</v>
      </c>
    </row>
    <row r="239" spans="1:17" ht="16.350000000000001" customHeight="1" x14ac:dyDescent="0.2">
      <c r="A239" s="102" t="s">
        <v>59</v>
      </c>
      <c r="B239" s="115">
        <v>12</v>
      </c>
      <c r="C239" s="131">
        <v>1941.66</v>
      </c>
      <c r="D239" s="689">
        <f t="shared" si="39"/>
        <v>161.80500000000001</v>
      </c>
      <c r="E239" s="799" t="s">
        <v>969</v>
      </c>
      <c r="G239" s="102" t="s">
        <v>59</v>
      </c>
      <c r="H239" s="115">
        <v>65.8</v>
      </c>
      <c r="I239" s="131">
        <v>3092.25</v>
      </c>
      <c r="J239" s="72">
        <f t="shared" si="40"/>
        <v>46.994680851063833</v>
      </c>
      <c r="K239" s="415" t="s">
        <v>613</v>
      </c>
      <c r="M239" s="102" t="s">
        <v>59</v>
      </c>
      <c r="N239" s="115">
        <v>74.099999999999994</v>
      </c>
      <c r="O239" s="70">
        <v>13495.16</v>
      </c>
      <c r="P239" s="72">
        <f t="shared" si="41"/>
        <v>182.12091767881242</v>
      </c>
      <c r="Q239" s="809" t="s">
        <v>584</v>
      </c>
    </row>
    <row r="240" spans="1:17" ht="16.350000000000001" customHeight="1" x14ac:dyDescent="0.35">
      <c r="A240" s="63" t="s">
        <v>30</v>
      </c>
      <c r="B240" s="134">
        <f>SUM(B228:B239)</f>
        <v>484.4</v>
      </c>
      <c r="C240" s="84">
        <f>SUM(C228:C239)</f>
        <v>46650.57</v>
      </c>
      <c r="D240" s="84">
        <f>C240/SUM(B228:B239)</f>
        <v>96.305883567299759</v>
      </c>
      <c r="E240" s="550"/>
      <c r="G240" s="63" t="s">
        <v>30</v>
      </c>
      <c r="H240" s="84">
        <f>SUM(H228:H239)</f>
        <v>1156.3</v>
      </c>
      <c r="I240" s="84">
        <f>SUM(I228:I239)</f>
        <v>46954.1</v>
      </c>
      <c r="J240" s="88">
        <f>I240/SUM(H228:H239)</f>
        <v>40.607195364524777</v>
      </c>
      <c r="K240" s="551"/>
      <c r="M240" s="63" t="s">
        <v>30</v>
      </c>
      <c r="N240" s="84">
        <f>SUM(N228:N239)</f>
        <v>1113.6999999999998</v>
      </c>
      <c r="O240" s="84">
        <f>SUM(O228:O239)</f>
        <v>181997.38999999998</v>
      </c>
      <c r="P240" s="84">
        <f>O240/SUM(N228:N239)</f>
        <v>163.41688964712222</v>
      </c>
      <c r="Q240" s="810"/>
    </row>
    <row r="241" spans="1:17" ht="31.5" customHeight="1" x14ac:dyDescent="0.2">
      <c r="A241" s="811"/>
      <c r="B241" s="16"/>
      <c r="C241" s="16"/>
      <c r="D241" s="812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745"/>
    </row>
    <row r="242" spans="1:17" ht="16.350000000000001" customHeight="1" x14ac:dyDescent="0.25">
      <c r="A242" s="800"/>
      <c r="B242" s="366"/>
      <c r="C242" s="801"/>
      <c r="D242" s="802"/>
      <c r="E242" s="366"/>
      <c r="F242" s="366"/>
      <c r="G242" s="366"/>
      <c r="H242" s="366"/>
      <c r="I242" s="366"/>
      <c r="J242" s="366"/>
      <c r="K242" s="366"/>
      <c r="L242" s="366"/>
      <c r="M242" s="366"/>
      <c r="N242" s="366"/>
      <c r="O242" s="366"/>
      <c r="P242" s="366"/>
      <c r="Q242" s="803"/>
    </row>
    <row r="243" spans="1:17" ht="16.350000000000001" customHeight="1" x14ac:dyDescent="0.25">
      <c r="A243" s="59"/>
      <c r="B243" s="81"/>
      <c r="C243" s="77">
        <v>2012</v>
      </c>
      <c r="D243" s="87"/>
      <c r="E243" s="86"/>
      <c r="G243" s="59"/>
      <c r="H243" s="81"/>
      <c r="I243" s="77">
        <v>2012</v>
      </c>
      <c r="J243" s="28"/>
      <c r="K243" s="86"/>
      <c r="M243" s="59"/>
      <c r="N243" s="81"/>
      <c r="O243" s="77">
        <v>2012</v>
      </c>
      <c r="P243" s="28"/>
      <c r="Q243" s="804"/>
    </row>
    <row r="244" spans="1:17" ht="16.350000000000001" customHeight="1" x14ac:dyDescent="0.2">
      <c r="A244" s="101"/>
      <c r="B244" s="23" t="s">
        <v>850</v>
      </c>
      <c r="C244" s="23" t="s">
        <v>848</v>
      </c>
      <c r="D244" s="688" t="s">
        <v>106</v>
      </c>
      <c r="E244" s="100"/>
      <c r="G244" s="120"/>
      <c r="H244" s="23" t="s">
        <v>850</v>
      </c>
      <c r="I244" s="23" t="s">
        <v>848</v>
      </c>
      <c r="J244" s="23" t="s">
        <v>106</v>
      </c>
      <c r="K244" s="100"/>
      <c r="M244" s="101"/>
      <c r="N244" s="23" t="s">
        <v>850</v>
      </c>
      <c r="O244" s="23" t="s">
        <v>848</v>
      </c>
      <c r="P244" s="23" t="s">
        <v>106</v>
      </c>
      <c r="Q244" s="805"/>
    </row>
    <row r="245" spans="1:17" ht="16.350000000000001" customHeight="1" x14ac:dyDescent="0.2">
      <c r="A245" s="63" t="s">
        <v>54</v>
      </c>
      <c r="B245" s="114">
        <v>12.8</v>
      </c>
      <c r="C245" s="83">
        <v>1962.87</v>
      </c>
      <c r="D245" s="84">
        <f t="shared" ref="D245:D256" si="42">C245/B245</f>
        <v>153.34921874999998</v>
      </c>
      <c r="E245" s="413" t="s">
        <v>971</v>
      </c>
      <c r="G245" s="63" t="s">
        <v>54</v>
      </c>
      <c r="H245" s="114">
        <v>70.900000000000006</v>
      </c>
      <c r="I245" s="83">
        <v>3130.3</v>
      </c>
      <c r="J245" s="375">
        <f t="shared" ref="J245:J256" si="43">I245/H245</f>
        <v>44.150916784203105</v>
      </c>
      <c r="K245" s="413" t="s">
        <v>1002</v>
      </c>
      <c r="M245" s="63" t="s">
        <v>54</v>
      </c>
      <c r="N245" s="114">
        <v>81.8</v>
      </c>
      <c r="O245" s="83">
        <v>14412.12</v>
      </c>
      <c r="P245" s="375">
        <f t="shared" ref="P245:P256" si="44">O245/N245</f>
        <v>176.1872860635697</v>
      </c>
      <c r="Q245" s="806" t="s">
        <v>973</v>
      </c>
    </row>
    <row r="246" spans="1:17" ht="16.350000000000001" customHeight="1" x14ac:dyDescent="0.2">
      <c r="A246" s="63" t="s">
        <v>55</v>
      </c>
      <c r="B246" s="114">
        <v>10</v>
      </c>
      <c r="C246" s="80">
        <v>1934.55</v>
      </c>
      <c r="D246" s="84">
        <f t="shared" si="42"/>
        <v>193.45499999999998</v>
      </c>
      <c r="E246" s="413" t="s">
        <v>975</v>
      </c>
      <c r="G246" s="63" t="s">
        <v>55</v>
      </c>
      <c r="H246" s="114">
        <v>73.400000000000006</v>
      </c>
      <c r="I246" s="83">
        <v>3051.28</v>
      </c>
      <c r="J246" s="375">
        <f t="shared" si="43"/>
        <v>41.570572207084467</v>
      </c>
      <c r="K246" s="90" t="s">
        <v>592</v>
      </c>
      <c r="M246" s="63" t="s">
        <v>55</v>
      </c>
      <c r="N246" s="114">
        <v>74.5</v>
      </c>
      <c r="O246" s="83">
        <v>13083.81</v>
      </c>
      <c r="P246" s="375">
        <f t="shared" si="44"/>
        <v>175.62161073825501</v>
      </c>
      <c r="Q246" s="807" t="s">
        <v>1003</v>
      </c>
    </row>
    <row r="247" spans="1:17" ht="16.350000000000001" customHeight="1" x14ac:dyDescent="0.2">
      <c r="A247" s="63" t="s">
        <v>58</v>
      </c>
      <c r="B247" s="114">
        <v>38.299999999999997</v>
      </c>
      <c r="C247" s="83">
        <v>3015.83</v>
      </c>
      <c r="D247" s="84">
        <f t="shared" si="42"/>
        <v>78.742297650130553</v>
      </c>
      <c r="E247" s="413" t="s">
        <v>1006</v>
      </c>
      <c r="G247" s="63" t="s">
        <v>58</v>
      </c>
      <c r="H247" s="91">
        <v>69.2</v>
      </c>
      <c r="I247" s="83">
        <v>3367.26</v>
      </c>
      <c r="J247" s="375">
        <f t="shared" si="43"/>
        <v>48.659826589595376</v>
      </c>
      <c r="K247" s="89" t="s">
        <v>594</v>
      </c>
      <c r="M247" s="63" t="s">
        <v>58</v>
      </c>
      <c r="N247" s="114">
        <v>69</v>
      </c>
      <c r="O247" s="83">
        <v>10988.79</v>
      </c>
      <c r="P247" s="375">
        <f t="shared" si="44"/>
        <v>159.25782608695653</v>
      </c>
      <c r="Q247" s="808" t="s">
        <v>725</v>
      </c>
    </row>
    <row r="248" spans="1:17" ht="16.350000000000001" customHeight="1" x14ac:dyDescent="0.2">
      <c r="A248" s="63" t="s">
        <v>61</v>
      </c>
      <c r="B248" s="114">
        <v>4.2</v>
      </c>
      <c r="C248" s="83">
        <v>2007.84</v>
      </c>
      <c r="D248" s="84">
        <f t="shared" si="42"/>
        <v>478.05714285714282</v>
      </c>
      <c r="E248" s="413" t="s">
        <v>1009</v>
      </c>
      <c r="G248" s="63" t="s">
        <v>61</v>
      </c>
      <c r="H248" s="91">
        <v>72.099999999999994</v>
      </c>
      <c r="I248" s="83">
        <v>2967.35</v>
      </c>
      <c r="J248" s="375">
        <f t="shared" si="43"/>
        <v>41.156033287101252</v>
      </c>
      <c r="K248" s="89" t="s">
        <v>1008</v>
      </c>
      <c r="M248" s="63" t="s">
        <v>61</v>
      </c>
      <c r="N248" s="114">
        <v>67.900000000000006</v>
      </c>
      <c r="O248" s="83">
        <v>13065.76</v>
      </c>
      <c r="P248" s="375">
        <f t="shared" si="44"/>
        <v>192.42650957290132</v>
      </c>
      <c r="Q248" s="808" t="s">
        <v>737</v>
      </c>
    </row>
    <row r="249" spans="1:17" ht="16.350000000000001" customHeight="1" x14ac:dyDescent="0.2">
      <c r="A249" s="63" t="s">
        <v>63</v>
      </c>
      <c r="B249" s="114">
        <v>20.7</v>
      </c>
      <c r="C249" s="83">
        <v>2105.65</v>
      </c>
      <c r="D249" s="84">
        <f t="shared" si="42"/>
        <v>101.72222222222223</v>
      </c>
      <c r="E249" s="413" t="s">
        <v>1010</v>
      </c>
      <c r="G249" s="63" t="s">
        <v>63</v>
      </c>
      <c r="H249" s="91">
        <v>133.4</v>
      </c>
      <c r="I249" s="83">
        <v>3377.01</v>
      </c>
      <c r="J249" s="375">
        <f t="shared" si="43"/>
        <v>25.314917541229384</v>
      </c>
      <c r="K249" s="89" t="s">
        <v>739</v>
      </c>
      <c r="M249" s="63" t="s">
        <v>63</v>
      </c>
      <c r="N249" s="114">
        <v>100.8</v>
      </c>
      <c r="O249" s="83">
        <v>13930.59</v>
      </c>
      <c r="P249" s="375">
        <f t="shared" si="44"/>
        <v>138.20029761904763</v>
      </c>
      <c r="Q249" s="807" t="s">
        <v>420</v>
      </c>
    </row>
    <row r="250" spans="1:17" ht="16.350000000000001" customHeight="1" x14ac:dyDescent="0.2">
      <c r="A250" s="63" t="s">
        <v>65</v>
      </c>
      <c r="B250" s="114">
        <v>41.8</v>
      </c>
      <c r="C250" s="83">
        <v>5440.57</v>
      </c>
      <c r="D250" s="657">
        <f t="shared" si="42"/>
        <v>130.15717703349281</v>
      </c>
      <c r="E250" s="413" t="s">
        <v>1011</v>
      </c>
      <c r="G250" s="63" t="s">
        <v>65</v>
      </c>
      <c r="H250" s="114">
        <v>149.5</v>
      </c>
      <c r="I250" s="83">
        <v>4707.8900000000003</v>
      </c>
      <c r="J250" s="88">
        <f t="shared" si="43"/>
        <v>31.490903010033445</v>
      </c>
      <c r="K250" s="89" t="s">
        <v>286</v>
      </c>
      <c r="M250" s="63" t="s">
        <v>65</v>
      </c>
      <c r="N250" s="114">
        <v>118.6</v>
      </c>
      <c r="O250" s="80">
        <v>14428.14</v>
      </c>
      <c r="P250" s="88">
        <f t="shared" si="44"/>
        <v>121.65379426644182</v>
      </c>
      <c r="Q250" s="807" t="s">
        <v>383</v>
      </c>
    </row>
    <row r="251" spans="1:17" ht="16.350000000000001" customHeight="1" x14ac:dyDescent="0.2">
      <c r="A251" s="63" t="s">
        <v>67</v>
      </c>
      <c r="B251" s="114">
        <v>32.9</v>
      </c>
      <c r="C251" s="83">
        <v>6238.49</v>
      </c>
      <c r="D251" s="657">
        <f t="shared" si="42"/>
        <v>189.61975683890577</v>
      </c>
      <c r="E251" s="413" t="s">
        <v>1012</v>
      </c>
      <c r="G251" s="63" t="s">
        <v>67</v>
      </c>
      <c r="H251" s="114">
        <v>164</v>
      </c>
      <c r="I251" s="80">
        <v>4392.72</v>
      </c>
      <c r="J251" s="88">
        <f t="shared" si="43"/>
        <v>26.784878048780488</v>
      </c>
      <c r="K251" s="89" t="s">
        <v>283</v>
      </c>
      <c r="M251" s="63" t="s">
        <v>67</v>
      </c>
      <c r="N251" s="114">
        <v>140.5</v>
      </c>
      <c r="O251" s="80">
        <v>16941.53</v>
      </c>
      <c r="P251" s="88">
        <f t="shared" si="44"/>
        <v>120.58028469750889</v>
      </c>
      <c r="Q251" s="807" t="s">
        <v>1013</v>
      </c>
    </row>
    <row r="252" spans="1:17" ht="16.350000000000001" customHeight="1" x14ac:dyDescent="0.2">
      <c r="A252" s="63" t="s">
        <v>62</v>
      </c>
      <c r="B252" s="114">
        <v>72.7</v>
      </c>
      <c r="C252" s="83">
        <v>8647.9</v>
      </c>
      <c r="D252" s="657">
        <f t="shared" si="42"/>
        <v>118.9532324621733</v>
      </c>
      <c r="E252" s="413" t="s">
        <v>1014</v>
      </c>
      <c r="G252" s="63" t="s">
        <v>62</v>
      </c>
      <c r="H252" s="114">
        <v>172</v>
      </c>
      <c r="I252" s="80">
        <v>4727.75</v>
      </c>
      <c r="J252" s="88">
        <f t="shared" si="43"/>
        <v>27.486918604651162</v>
      </c>
      <c r="K252" s="90" t="s">
        <v>287</v>
      </c>
      <c r="M252" s="63" t="s">
        <v>62</v>
      </c>
      <c r="N252" s="114">
        <v>153.4</v>
      </c>
      <c r="O252" s="80">
        <v>17142.490000000002</v>
      </c>
      <c r="P252" s="88">
        <f t="shared" si="44"/>
        <v>111.75026075619297</v>
      </c>
      <c r="Q252" s="807" t="s">
        <v>1013</v>
      </c>
    </row>
    <row r="253" spans="1:17" ht="16.350000000000001" customHeight="1" x14ac:dyDescent="0.2">
      <c r="A253" s="63" t="s">
        <v>64</v>
      </c>
      <c r="B253" s="114">
        <v>118.1</v>
      </c>
      <c r="C253" s="80">
        <v>7601.39</v>
      </c>
      <c r="D253" s="657">
        <f t="shared" si="42"/>
        <v>64.364013547840813</v>
      </c>
      <c r="E253" s="413" t="s">
        <v>1017</v>
      </c>
      <c r="G253" s="63" t="s">
        <v>64</v>
      </c>
      <c r="H253" s="114">
        <v>153.6</v>
      </c>
      <c r="I253" s="80">
        <v>5079.83</v>
      </c>
      <c r="J253" s="88">
        <f t="shared" si="43"/>
        <v>33.071809895833333</v>
      </c>
      <c r="K253" s="90" t="s">
        <v>289</v>
      </c>
      <c r="M253" s="63" t="s">
        <v>64</v>
      </c>
      <c r="N253" s="114">
        <v>143.1</v>
      </c>
      <c r="O253" s="83">
        <v>18839.63</v>
      </c>
      <c r="P253" s="657">
        <f t="shared" si="44"/>
        <v>131.65359888190079</v>
      </c>
      <c r="Q253" s="807" t="s">
        <v>751</v>
      </c>
    </row>
    <row r="254" spans="1:17" ht="16.350000000000001" customHeight="1" x14ac:dyDescent="0.2">
      <c r="A254" s="63" t="s">
        <v>66</v>
      </c>
      <c r="B254" s="114">
        <v>176.2</v>
      </c>
      <c r="C254" s="80">
        <v>6171.12</v>
      </c>
      <c r="D254" s="657">
        <f t="shared" si="42"/>
        <v>35.023382519863794</v>
      </c>
      <c r="E254" s="413" t="s">
        <v>1018</v>
      </c>
      <c r="G254" s="63" t="s">
        <v>66</v>
      </c>
      <c r="H254" s="114">
        <v>118.4</v>
      </c>
      <c r="I254" s="83">
        <v>4682.96</v>
      </c>
      <c r="J254" s="88">
        <f t="shared" si="43"/>
        <v>39.552027027027023</v>
      </c>
      <c r="K254" s="90" t="s">
        <v>756</v>
      </c>
      <c r="M254" s="63" t="s">
        <v>66</v>
      </c>
      <c r="N254" s="114">
        <v>118</v>
      </c>
      <c r="O254" s="80">
        <v>17873.57</v>
      </c>
      <c r="P254" s="88">
        <f t="shared" si="44"/>
        <v>151.47093220338982</v>
      </c>
      <c r="Q254" s="807" t="s">
        <v>1020</v>
      </c>
    </row>
    <row r="255" spans="1:17" ht="16.350000000000001" customHeight="1" x14ac:dyDescent="0.2">
      <c r="A255" s="63" t="s">
        <v>56</v>
      </c>
      <c r="B255" s="114">
        <v>12.8</v>
      </c>
      <c r="C255" s="83">
        <v>4197.8999999999996</v>
      </c>
      <c r="D255" s="657">
        <f t="shared" si="42"/>
        <v>327.96093749999994</v>
      </c>
      <c r="E255" s="413" t="s">
        <v>1021</v>
      </c>
      <c r="G255" s="63" t="s">
        <v>56</v>
      </c>
      <c r="H255" s="114">
        <v>80.8</v>
      </c>
      <c r="I255" s="83">
        <v>4202.74</v>
      </c>
      <c r="J255" s="88">
        <f t="shared" si="43"/>
        <v>52.014108910891089</v>
      </c>
      <c r="K255" s="414" t="s">
        <v>221</v>
      </c>
      <c r="M255" s="63" t="s">
        <v>56</v>
      </c>
      <c r="N255" s="114">
        <v>89.4</v>
      </c>
      <c r="O255" s="80">
        <v>14738.81</v>
      </c>
      <c r="P255" s="88">
        <f t="shared" si="44"/>
        <v>164.86364653243845</v>
      </c>
      <c r="Q255" s="807" t="s">
        <v>705</v>
      </c>
    </row>
    <row r="256" spans="1:17" ht="16.350000000000001" customHeight="1" x14ac:dyDescent="0.2">
      <c r="A256" s="102" t="s">
        <v>59</v>
      </c>
      <c r="B256" s="115">
        <v>4.5</v>
      </c>
      <c r="C256" s="795">
        <v>2086.37</v>
      </c>
      <c r="D256" s="689">
        <f t="shared" si="42"/>
        <v>463.63777777777773</v>
      </c>
      <c r="E256" s="799" t="s">
        <v>1025</v>
      </c>
      <c r="G256" s="102" t="s">
        <v>59</v>
      </c>
      <c r="H256" s="115">
        <v>30.1</v>
      </c>
      <c r="I256" s="131">
        <v>3144.53</v>
      </c>
      <c r="J256" s="72">
        <f t="shared" si="43"/>
        <v>104.46943521594685</v>
      </c>
      <c r="K256" s="415" t="s">
        <v>711</v>
      </c>
      <c r="M256" s="102" t="s">
        <v>59</v>
      </c>
      <c r="N256" s="115">
        <v>43.1</v>
      </c>
      <c r="O256" s="70">
        <v>10435.26</v>
      </c>
      <c r="P256" s="72">
        <f t="shared" si="44"/>
        <v>242.11740139211136</v>
      </c>
      <c r="Q256" s="809" t="s">
        <v>1026</v>
      </c>
    </row>
    <row r="257" spans="1:17" ht="16.350000000000001" customHeight="1" x14ac:dyDescent="0.35">
      <c r="A257" s="63" t="s">
        <v>30</v>
      </c>
      <c r="B257" s="134">
        <f>SUM(B245:B256)</f>
        <v>545</v>
      </c>
      <c r="C257" s="84">
        <f>SUM(C245:C256)</f>
        <v>51410.48</v>
      </c>
      <c r="D257" s="84">
        <f>C257/SUM(B245:B256)</f>
        <v>94.331155963302763</v>
      </c>
      <c r="E257" s="550"/>
      <c r="G257" s="63" t="s">
        <v>30</v>
      </c>
      <c r="H257" s="84">
        <f>SUM(H245:H256)</f>
        <v>1287.3999999999999</v>
      </c>
      <c r="I257" s="84">
        <f>SUM(I245:I256)</f>
        <v>46831.619999999995</v>
      </c>
      <c r="J257" s="88">
        <f>I257/SUM(H245:H256)</f>
        <v>36.376899176635078</v>
      </c>
      <c r="K257" s="551"/>
      <c r="M257" s="63" t="s">
        <v>30</v>
      </c>
      <c r="N257" s="84">
        <f>SUM(N245:N256)</f>
        <v>1200.0999999999999</v>
      </c>
      <c r="O257" s="84">
        <f>SUM(O245:O256)</f>
        <v>175880.50000000003</v>
      </c>
      <c r="P257" s="84">
        <f>O257/SUM(N245:N256)</f>
        <v>146.55487042746441</v>
      </c>
      <c r="Q257" s="810"/>
    </row>
    <row r="258" spans="1:17" ht="16.350000000000001" customHeight="1" x14ac:dyDescent="0.2">
      <c r="A258" s="811"/>
      <c r="B258" s="16"/>
      <c r="C258" s="16"/>
      <c r="D258" s="812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745"/>
    </row>
    <row r="260" spans="1:17" ht="16.350000000000001" customHeight="1" x14ac:dyDescent="0.25">
      <c r="A260" s="59"/>
      <c r="B260" s="81"/>
      <c r="C260" s="77">
        <v>2013</v>
      </c>
      <c r="D260" s="87"/>
      <c r="E260" s="86"/>
      <c r="G260" s="59"/>
      <c r="H260" s="81"/>
      <c r="I260" s="77">
        <v>2013</v>
      </c>
      <c r="J260" s="28"/>
      <c r="K260" s="86"/>
      <c r="M260" s="59"/>
      <c r="N260" s="81"/>
      <c r="O260" s="77">
        <v>2013</v>
      </c>
      <c r="P260" s="28"/>
      <c r="Q260" s="804"/>
    </row>
    <row r="261" spans="1:17" ht="16.350000000000001" customHeight="1" x14ac:dyDescent="0.2">
      <c r="A261" s="101"/>
      <c r="B261" s="23" t="s">
        <v>850</v>
      </c>
      <c r="C261" s="23" t="s">
        <v>848</v>
      </c>
      <c r="D261" s="688" t="s">
        <v>106</v>
      </c>
      <c r="E261" s="100"/>
      <c r="G261" s="120"/>
      <c r="H261" s="23" t="s">
        <v>850</v>
      </c>
      <c r="I261" s="23" t="s">
        <v>848</v>
      </c>
      <c r="J261" s="23" t="s">
        <v>106</v>
      </c>
      <c r="K261" s="100"/>
      <c r="M261" s="101"/>
      <c r="N261" s="23" t="s">
        <v>850</v>
      </c>
      <c r="O261" s="23" t="s">
        <v>848</v>
      </c>
      <c r="P261" s="23" t="s">
        <v>106</v>
      </c>
      <c r="Q261" s="805"/>
    </row>
    <row r="262" spans="1:17" ht="16.350000000000001" customHeight="1" x14ac:dyDescent="0.2">
      <c r="A262" s="63" t="s">
        <v>54</v>
      </c>
      <c r="B262" s="114">
        <v>13.4</v>
      </c>
      <c r="C262" s="83">
        <v>3442.74</v>
      </c>
      <c r="D262" s="84">
        <f t="shared" ref="D262:D273" si="45">C262/B262</f>
        <v>256.92089552238804</v>
      </c>
      <c r="E262" s="1259" t="s">
        <v>1029</v>
      </c>
      <c r="G262" s="63" t="s">
        <v>54</v>
      </c>
      <c r="H262" s="114">
        <v>59.6</v>
      </c>
      <c r="I262" s="83">
        <v>1840.73</v>
      </c>
      <c r="J262" s="375">
        <f t="shared" ref="J262:J273" si="46">I262/H262</f>
        <v>30.884731543624159</v>
      </c>
      <c r="K262" s="1259" t="s">
        <v>716</v>
      </c>
      <c r="M262" s="63" t="s">
        <v>54</v>
      </c>
      <c r="N262" s="114">
        <v>72.400000000000006</v>
      </c>
      <c r="O262" s="83">
        <v>13403.27</v>
      </c>
      <c r="P262" s="375">
        <f t="shared" ref="P262:P274" si="47">O262/N262</f>
        <v>185.12803867403315</v>
      </c>
      <c r="Q262" s="1265" t="s">
        <v>467</v>
      </c>
    </row>
    <row r="263" spans="1:17" ht="16.350000000000001" customHeight="1" x14ac:dyDescent="0.2">
      <c r="A263" s="63" t="s">
        <v>55</v>
      </c>
      <c r="B263" s="114">
        <v>2.2000000000000002</v>
      </c>
      <c r="C263" s="80">
        <v>2130.3200000000002</v>
      </c>
      <c r="D263" s="84">
        <f t="shared" si="45"/>
        <v>968.32727272727277</v>
      </c>
      <c r="E263" s="1259" t="s">
        <v>1030</v>
      </c>
      <c r="G263" s="63" t="s">
        <v>55</v>
      </c>
      <c r="H263" s="114">
        <v>59</v>
      </c>
      <c r="I263" s="83">
        <v>2573.06</v>
      </c>
      <c r="J263" s="375">
        <f t="shared" si="46"/>
        <v>43.611186440677962</v>
      </c>
      <c r="K263" s="1261" t="s">
        <v>1031</v>
      </c>
      <c r="M263" s="63" t="s">
        <v>55</v>
      </c>
      <c r="N263" s="114">
        <v>60.2</v>
      </c>
      <c r="O263" s="83">
        <v>12700.33</v>
      </c>
      <c r="P263" s="375">
        <f t="shared" si="47"/>
        <v>210.9689368770764</v>
      </c>
      <c r="Q263" s="1266" t="s">
        <v>369</v>
      </c>
    </row>
    <row r="264" spans="1:17" ht="16.350000000000001" customHeight="1" x14ac:dyDescent="0.2">
      <c r="A264" s="63" t="s">
        <v>58</v>
      </c>
      <c r="B264" s="114">
        <v>1.6</v>
      </c>
      <c r="C264" s="83">
        <v>2122.89</v>
      </c>
      <c r="D264" s="84">
        <f t="shared" si="45"/>
        <v>1326.8062499999999</v>
      </c>
      <c r="E264" s="1259" t="s">
        <v>1032</v>
      </c>
      <c r="G264" s="63" t="s">
        <v>58</v>
      </c>
      <c r="H264" s="91">
        <v>95.5</v>
      </c>
      <c r="I264" s="83">
        <v>3367.7</v>
      </c>
      <c r="J264" s="375">
        <f t="shared" si="46"/>
        <v>35.263874345549738</v>
      </c>
      <c r="K264" s="1262" t="s">
        <v>825</v>
      </c>
      <c r="M264" s="63" t="s">
        <v>58</v>
      </c>
      <c r="N264" s="114">
        <v>92.8</v>
      </c>
      <c r="O264" s="83">
        <v>15556.22</v>
      </c>
      <c r="P264" s="375">
        <f t="shared" si="47"/>
        <v>167.63168103448277</v>
      </c>
      <c r="Q264" s="1267" t="s">
        <v>1034</v>
      </c>
    </row>
    <row r="265" spans="1:17" ht="16.350000000000001" customHeight="1" x14ac:dyDescent="0.2">
      <c r="A265" s="63" t="s">
        <v>61</v>
      </c>
      <c r="B265" s="114">
        <v>3.6</v>
      </c>
      <c r="C265" s="83">
        <v>2167.0100000000002</v>
      </c>
      <c r="D265" s="84">
        <f t="shared" si="45"/>
        <v>601.94722222222231</v>
      </c>
      <c r="E265" s="1259" t="s">
        <v>1033</v>
      </c>
      <c r="G265" s="63" t="s">
        <v>61</v>
      </c>
      <c r="H265" s="91">
        <v>124.3</v>
      </c>
      <c r="I265" s="83">
        <v>4050.75</v>
      </c>
      <c r="J265" s="375">
        <f t="shared" si="46"/>
        <v>32.588495575221238</v>
      </c>
      <c r="K265" s="1262" t="s">
        <v>272</v>
      </c>
      <c r="M265" s="63" t="s">
        <v>61</v>
      </c>
      <c r="N265" s="114">
        <v>78.5</v>
      </c>
      <c r="O265" s="83">
        <v>3136.01</v>
      </c>
      <c r="P265" s="375">
        <f t="shared" si="47"/>
        <v>39.949171974522294</v>
      </c>
      <c r="Q265" s="1267" t="s">
        <v>1035</v>
      </c>
    </row>
    <row r="266" spans="1:17" ht="16.350000000000001" customHeight="1" x14ac:dyDescent="0.2">
      <c r="A266" s="63" t="s">
        <v>63</v>
      </c>
      <c r="B266" s="114">
        <v>41.1</v>
      </c>
      <c r="C266" s="83">
        <v>3451.23</v>
      </c>
      <c r="D266" s="84">
        <f t="shared" si="45"/>
        <v>83.97153284671532</v>
      </c>
      <c r="E266" s="1259" t="s">
        <v>1036</v>
      </c>
      <c r="G266" s="63" t="s">
        <v>63</v>
      </c>
      <c r="H266" s="91">
        <v>146.69999999999999</v>
      </c>
      <c r="I266" s="83">
        <v>4475.55</v>
      </c>
      <c r="J266" s="375">
        <f t="shared" si="46"/>
        <v>30.508179959100207</v>
      </c>
      <c r="K266" s="1262" t="s">
        <v>1037</v>
      </c>
      <c r="M266" s="63" t="s">
        <v>63</v>
      </c>
      <c r="N266" s="114">
        <v>119.1</v>
      </c>
      <c r="O266" s="83">
        <v>34818.31</v>
      </c>
      <c r="P266" s="375">
        <f t="shared" si="47"/>
        <v>292.34517212426533</v>
      </c>
      <c r="Q266" s="1266" t="s">
        <v>1038</v>
      </c>
    </row>
    <row r="267" spans="1:17" ht="16.350000000000001" customHeight="1" x14ac:dyDescent="0.2">
      <c r="A267" s="63" t="s">
        <v>65</v>
      </c>
      <c r="B267" s="114">
        <v>36</v>
      </c>
      <c r="C267" s="83">
        <v>5818.49</v>
      </c>
      <c r="D267" s="657">
        <f t="shared" si="45"/>
        <v>161.6247222222222</v>
      </c>
      <c r="E267" s="1259" t="s">
        <v>1039</v>
      </c>
      <c r="G267" s="63" t="s">
        <v>65</v>
      </c>
      <c r="H267" s="114">
        <v>162.80000000000001</v>
      </c>
      <c r="I267" s="83">
        <v>2580.2199999999998</v>
      </c>
      <c r="J267" s="88">
        <f t="shared" si="46"/>
        <v>15.849017199017197</v>
      </c>
      <c r="K267" s="1262" t="s">
        <v>1040</v>
      </c>
      <c r="M267" s="63" t="s">
        <v>65</v>
      </c>
      <c r="N267" s="114">
        <v>130.6</v>
      </c>
      <c r="O267" s="80">
        <v>19725.64</v>
      </c>
      <c r="P267" s="88">
        <f t="shared" si="47"/>
        <v>151.03859111791732</v>
      </c>
      <c r="Q267" s="1266" t="s">
        <v>1041</v>
      </c>
    </row>
    <row r="268" spans="1:17" ht="16.350000000000001" customHeight="1" x14ac:dyDescent="0.2">
      <c r="A268" s="63" t="s">
        <v>67</v>
      </c>
      <c r="B268" s="114">
        <v>65.400000000000006</v>
      </c>
      <c r="C268" s="83">
        <v>4322.83</v>
      </c>
      <c r="D268" s="657">
        <f t="shared" si="45"/>
        <v>66.098318042813446</v>
      </c>
      <c r="E268" s="1259" t="s">
        <v>1045</v>
      </c>
      <c r="G268" s="63" t="s">
        <v>67</v>
      </c>
      <c r="H268" s="114">
        <v>171.7</v>
      </c>
      <c r="I268" s="80">
        <v>6095.97</v>
      </c>
      <c r="J268" s="88">
        <f t="shared" si="46"/>
        <v>35.503610949330231</v>
      </c>
      <c r="K268" s="1262" t="s">
        <v>1039</v>
      </c>
      <c r="M268" s="63" t="s">
        <v>67</v>
      </c>
      <c r="N268" s="114">
        <v>136.6</v>
      </c>
      <c r="O268" s="80">
        <v>19607.52</v>
      </c>
      <c r="P268" s="88">
        <f t="shared" si="47"/>
        <v>143.53967789165446</v>
      </c>
      <c r="Q268" s="1266" t="s">
        <v>1042</v>
      </c>
    </row>
    <row r="269" spans="1:17" ht="16.350000000000001" customHeight="1" x14ac:dyDescent="0.2">
      <c r="A269" s="63" t="s">
        <v>62</v>
      </c>
      <c r="B269" s="114">
        <v>50.8</v>
      </c>
      <c r="C269" s="83">
        <v>3696.14</v>
      </c>
      <c r="D269" s="657">
        <f t="shared" si="45"/>
        <v>72.758661417322841</v>
      </c>
      <c r="E269" s="1259" t="s">
        <v>991</v>
      </c>
      <c r="G269" s="63" t="s">
        <v>62</v>
      </c>
      <c r="H269" s="114">
        <v>172.3</v>
      </c>
      <c r="I269" s="80">
        <v>6342.54</v>
      </c>
      <c r="J269" s="88">
        <f t="shared" si="46"/>
        <v>36.811027278003479</v>
      </c>
      <c r="K269" s="1261" t="s">
        <v>1045</v>
      </c>
      <c r="M269" s="459" t="s">
        <v>62</v>
      </c>
      <c r="N269" s="851">
        <v>128.1</v>
      </c>
      <c r="O269" s="852">
        <v>18153.29</v>
      </c>
      <c r="P269" s="375">
        <f t="shared" si="47"/>
        <v>141.71186572989853</v>
      </c>
      <c r="Q269" s="1268" t="s">
        <v>1043</v>
      </c>
    </row>
    <row r="270" spans="1:17" ht="16.350000000000001" customHeight="1" x14ac:dyDescent="0.2">
      <c r="A270" s="63" t="s">
        <v>64</v>
      </c>
      <c r="B270" s="114">
        <v>30.5</v>
      </c>
      <c r="C270" s="80">
        <v>4251.79</v>
      </c>
      <c r="D270" s="657">
        <f t="shared" si="45"/>
        <v>139.40295081967213</v>
      </c>
      <c r="E270" s="1259" t="s">
        <v>1048</v>
      </c>
      <c r="G270" s="63" t="s">
        <v>64</v>
      </c>
      <c r="H270" s="114">
        <v>158.1</v>
      </c>
      <c r="I270" s="80">
        <v>6183.62</v>
      </c>
      <c r="J270" s="88">
        <f t="shared" si="46"/>
        <v>39.112080961416822</v>
      </c>
      <c r="K270" s="1261" t="s">
        <v>991</v>
      </c>
      <c r="M270" s="63" t="s">
        <v>64</v>
      </c>
      <c r="N270" s="114">
        <v>157.4</v>
      </c>
      <c r="O270" s="83">
        <v>23304.16</v>
      </c>
      <c r="P270" s="657">
        <f t="shared" si="47"/>
        <v>148.05692503176618</v>
      </c>
      <c r="Q270" s="1266" t="s">
        <v>1049</v>
      </c>
    </row>
    <row r="271" spans="1:17" ht="16.350000000000001" customHeight="1" x14ac:dyDescent="0.2">
      <c r="A271" s="63" t="s">
        <v>66</v>
      </c>
      <c r="B271" s="114">
        <v>42</v>
      </c>
      <c r="C271" s="80">
        <v>4216.6400000000003</v>
      </c>
      <c r="D271" s="657">
        <f t="shared" si="45"/>
        <v>100.39619047619048</v>
      </c>
      <c r="E271" s="1259" t="s">
        <v>1051</v>
      </c>
      <c r="G271" s="63" t="s">
        <v>66</v>
      </c>
      <c r="H271" s="114">
        <v>136.19999999999999</v>
      </c>
      <c r="I271" s="83">
        <v>6810.42</v>
      </c>
      <c r="J271" s="88">
        <f t="shared" si="46"/>
        <v>50.003083700440534</v>
      </c>
      <c r="K271" s="1261" t="s">
        <v>1048</v>
      </c>
      <c r="M271" s="63" t="s">
        <v>66</v>
      </c>
      <c r="N271" s="114">
        <v>115.9</v>
      </c>
      <c r="O271" s="80">
        <v>18196.32</v>
      </c>
      <c r="P271" s="88">
        <f t="shared" si="47"/>
        <v>157.00017256255393</v>
      </c>
      <c r="Q271" s="1266" t="s">
        <v>1050</v>
      </c>
    </row>
    <row r="272" spans="1:17" ht="16.350000000000001" customHeight="1" x14ac:dyDescent="0.2">
      <c r="A272" s="63" t="s">
        <v>56</v>
      </c>
      <c r="B272" s="114">
        <v>28.6</v>
      </c>
      <c r="C272" s="83">
        <v>3894.21</v>
      </c>
      <c r="D272" s="657">
        <f t="shared" si="45"/>
        <v>136.16118881118879</v>
      </c>
      <c r="E272" s="1259" t="s">
        <v>1053</v>
      </c>
      <c r="G272" s="63" t="s">
        <v>56</v>
      </c>
      <c r="H272" s="114">
        <v>95.9</v>
      </c>
      <c r="I272" s="83">
        <v>5865.87</v>
      </c>
      <c r="J272" s="88">
        <f t="shared" si="46"/>
        <v>61.166527632950988</v>
      </c>
      <c r="K272" s="1263" t="s">
        <v>1051</v>
      </c>
      <c r="M272" s="63" t="s">
        <v>56</v>
      </c>
      <c r="N272" s="114">
        <v>100.9</v>
      </c>
      <c r="O272" s="80">
        <v>17401.18</v>
      </c>
      <c r="P272" s="88">
        <f t="shared" si="47"/>
        <v>172.45966303270563</v>
      </c>
      <c r="Q272" s="1266" t="s">
        <v>1057</v>
      </c>
    </row>
    <row r="273" spans="1:17" ht="16.350000000000001" customHeight="1" x14ac:dyDescent="0.2">
      <c r="A273" s="102" t="s">
        <v>59</v>
      </c>
      <c r="B273" s="115">
        <v>8.6999999999999993</v>
      </c>
      <c r="C273" s="795">
        <v>3345.6</v>
      </c>
      <c r="D273" s="689">
        <f t="shared" si="45"/>
        <v>384.55172413793105</v>
      </c>
      <c r="E273" s="1260" t="s">
        <v>1055</v>
      </c>
      <c r="G273" s="102" t="s">
        <v>59</v>
      </c>
      <c r="H273" s="115">
        <v>87.4</v>
      </c>
      <c r="I273" s="131">
        <v>4617.17</v>
      </c>
      <c r="J273" s="72">
        <f t="shared" si="46"/>
        <v>52.828032036613273</v>
      </c>
      <c r="K273" s="1264" t="s">
        <v>1052</v>
      </c>
      <c r="M273" s="102" t="s">
        <v>59</v>
      </c>
      <c r="N273" s="115">
        <v>79.400000000000006</v>
      </c>
      <c r="O273" s="70">
        <v>15232.2</v>
      </c>
      <c r="P273" s="72">
        <f t="shared" si="47"/>
        <v>191.84130982367759</v>
      </c>
      <c r="Q273" s="1269" t="s">
        <v>1058</v>
      </c>
    </row>
    <row r="274" spans="1:17" ht="16.350000000000001" customHeight="1" thickBot="1" x14ac:dyDescent="0.4">
      <c r="A274" s="63" t="s">
        <v>30</v>
      </c>
      <c r="B274" s="134">
        <f>SUM(B262:B273)</f>
        <v>323.90000000000003</v>
      </c>
      <c r="C274" s="84">
        <f>SUM(C262:C273)</f>
        <v>42859.89</v>
      </c>
      <c r="D274" s="84">
        <f>C274/SUM(B262:B273)</f>
        <v>132.32445199135535</v>
      </c>
      <c r="E274" s="550"/>
      <c r="G274" s="63" t="s">
        <v>30</v>
      </c>
      <c r="H274" s="84">
        <f>SUM(H262:H273)</f>
        <v>1469.5</v>
      </c>
      <c r="I274" s="84">
        <f>SUM(I262:I273)</f>
        <v>54803.600000000006</v>
      </c>
      <c r="J274" s="88">
        <f>I274/SUM(H262:H273)</f>
        <v>37.294045593739369</v>
      </c>
      <c r="K274" s="551"/>
      <c r="M274" s="63" t="s">
        <v>30</v>
      </c>
      <c r="N274" s="84">
        <f>SUM(N262:N273)</f>
        <v>1271.9000000000003</v>
      </c>
      <c r="O274" s="84">
        <f>SUM(O262:O273)</f>
        <v>211234.45</v>
      </c>
      <c r="P274" s="72">
        <f t="shared" si="47"/>
        <v>166.07787561915242</v>
      </c>
      <c r="Q274" s="810"/>
    </row>
    <row r="275" spans="1:17" ht="16.350000000000001" customHeight="1" x14ac:dyDescent="0.2">
      <c r="A275" s="1377"/>
      <c r="B275" s="554"/>
      <c r="C275" s="554"/>
      <c r="D275" s="1378"/>
      <c r="E275" s="554"/>
      <c r="F275" s="554"/>
      <c r="G275" s="1379"/>
      <c r="H275" s="554"/>
      <c r="I275" s="554"/>
      <c r="J275" s="554"/>
      <c r="K275" s="554"/>
      <c r="L275" s="1380"/>
      <c r="M275" s="554"/>
      <c r="N275" s="554"/>
      <c r="O275" s="554"/>
      <c r="P275" s="554"/>
      <c r="Q275" s="1381"/>
    </row>
    <row r="276" spans="1:17" ht="16.350000000000001" customHeight="1" x14ac:dyDescent="0.25">
      <c r="A276" s="780"/>
      <c r="B276" s="81"/>
      <c r="C276" s="77">
        <v>2014</v>
      </c>
      <c r="D276" s="87"/>
      <c r="E276" s="86"/>
      <c r="G276" s="59"/>
      <c r="H276" s="81"/>
      <c r="I276" s="77">
        <v>2014</v>
      </c>
      <c r="J276" s="28"/>
      <c r="K276" s="86"/>
      <c r="M276" s="59"/>
      <c r="N276" s="81"/>
      <c r="O276" s="77">
        <v>2014</v>
      </c>
      <c r="P276" s="28"/>
      <c r="Q276" s="1360"/>
    </row>
    <row r="277" spans="1:17" ht="16.350000000000001" customHeight="1" x14ac:dyDescent="0.2">
      <c r="A277" s="1361"/>
      <c r="B277" s="23" t="s">
        <v>850</v>
      </c>
      <c r="C277" s="23" t="s">
        <v>848</v>
      </c>
      <c r="D277" s="688" t="s">
        <v>106</v>
      </c>
      <c r="E277" s="100"/>
      <c r="G277" s="120"/>
      <c r="H277" s="23" t="s">
        <v>850</v>
      </c>
      <c r="I277" s="23" t="s">
        <v>848</v>
      </c>
      <c r="J277" s="23" t="s">
        <v>106</v>
      </c>
      <c r="K277" s="100"/>
      <c r="M277" s="101"/>
      <c r="N277" s="23" t="s">
        <v>850</v>
      </c>
      <c r="O277" s="23" t="s">
        <v>848</v>
      </c>
      <c r="P277" s="23" t="s">
        <v>106</v>
      </c>
      <c r="Q277" s="1362"/>
    </row>
    <row r="278" spans="1:17" ht="16.350000000000001" customHeight="1" x14ac:dyDescent="0.2">
      <c r="A278" s="1363" t="s">
        <v>54</v>
      </c>
      <c r="B278" s="114">
        <v>13</v>
      </c>
      <c r="C278" s="83">
        <v>2569.11</v>
      </c>
      <c r="D278" s="84">
        <f t="shared" ref="D278:D289" si="48">C278/B278</f>
        <v>197.62384615384616</v>
      </c>
      <c r="E278" s="1259" t="s">
        <v>1096</v>
      </c>
      <c r="F278" s="803"/>
      <c r="G278" s="63" t="s">
        <v>54</v>
      </c>
      <c r="H278" s="114">
        <v>100.5</v>
      </c>
      <c r="I278" s="83">
        <v>4239.68</v>
      </c>
      <c r="J278" s="375">
        <f t="shared" ref="J278:J289" si="49">I278/H278</f>
        <v>42.185870646766169</v>
      </c>
      <c r="K278" s="1259" t="s">
        <v>1056</v>
      </c>
      <c r="L278" s="803"/>
      <c r="M278" s="63" t="s">
        <v>54</v>
      </c>
      <c r="N278" s="114">
        <v>93.9</v>
      </c>
      <c r="O278" s="83">
        <v>15231.62</v>
      </c>
      <c r="P278" s="375">
        <f t="shared" ref="P278:P290" si="50">O278/N278</f>
        <v>162.21107561235357</v>
      </c>
      <c r="Q278" s="1364" t="s">
        <v>1098</v>
      </c>
    </row>
    <row r="279" spans="1:17" ht="16.350000000000001" customHeight="1" x14ac:dyDescent="0.2">
      <c r="A279" s="1363" t="s">
        <v>55</v>
      </c>
      <c r="B279" s="114">
        <v>18.2</v>
      </c>
      <c r="C279" s="80">
        <v>3562.89</v>
      </c>
      <c r="D279" s="84">
        <f t="shared" si="48"/>
        <v>195.76318681318682</v>
      </c>
      <c r="E279" s="1259" t="s">
        <v>1099</v>
      </c>
      <c r="G279" s="63" t="s">
        <v>55</v>
      </c>
      <c r="H279" s="114">
        <v>69</v>
      </c>
      <c r="I279" s="83">
        <v>4587.3500000000004</v>
      </c>
      <c r="J279" s="375">
        <f t="shared" si="49"/>
        <v>66.483333333333334</v>
      </c>
      <c r="K279" s="1261" t="s">
        <v>1097</v>
      </c>
      <c r="M279" s="63" t="s">
        <v>55</v>
      </c>
      <c r="N279" s="114">
        <v>72.2</v>
      </c>
      <c r="O279" s="83">
        <v>13605.54</v>
      </c>
      <c r="P279" s="375">
        <f t="shared" si="50"/>
        <v>188.44238227146815</v>
      </c>
      <c r="Q279" s="1365" t="s">
        <v>1100</v>
      </c>
    </row>
    <row r="280" spans="1:17" ht="16.350000000000001" customHeight="1" x14ac:dyDescent="0.2">
      <c r="A280" s="1363" t="s">
        <v>58</v>
      </c>
      <c r="B280" s="114">
        <v>15.7</v>
      </c>
      <c r="C280" s="83">
        <v>2571.36</v>
      </c>
      <c r="D280" s="84">
        <f t="shared" si="48"/>
        <v>163.78089171974523</v>
      </c>
      <c r="E280" s="1259" t="s">
        <v>1106</v>
      </c>
      <c r="G280" s="63" t="s">
        <v>58</v>
      </c>
      <c r="H280" s="91">
        <v>85.9</v>
      </c>
      <c r="I280" s="83">
        <v>4211.3100000000004</v>
      </c>
      <c r="J280" s="375">
        <f t="shared" si="49"/>
        <v>49.025727590221187</v>
      </c>
      <c r="K280" s="1262" t="s">
        <v>1030</v>
      </c>
      <c r="M280" s="63" t="s">
        <v>58</v>
      </c>
      <c r="N280" s="114">
        <v>73.8</v>
      </c>
      <c r="O280" s="83">
        <v>14459.3</v>
      </c>
      <c r="P280" s="375">
        <f t="shared" si="50"/>
        <v>195.92547425474254</v>
      </c>
      <c r="Q280" s="1366" t="s">
        <v>1104</v>
      </c>
    </row>
    <row r="281" spans="1:17" ht="16.350000000000001" customHeight="1" x14ac:dyDescent="0.2">
      <c r="A281" s="1363" t="s">
        <v>61</v>
      </c>
      <c r="B281" s="114">
        <v>30.9</v>
      </c>
      <c r="C281" s="83">
        <v>3992.79</v>
      </c>
      <c r="D281" s="84">
        <f t="shared" si="48"/>
        <v>129.21650485436894</v>
      </c>
      <c r="E281" s="1259" t="s">
        <v>1107</v>
      </c>
      <c r="G281" s="63" t="s">
        <v>61</v>
      </c>
      <c r="H281" s="91">
        <v>136.80000000000001</v>
      </c>
      <c r="I281" s="83">
        <v>4001.58</v>
      </c>
      <c r="J281" s="375">
        <f t="shared" si="49"/>
        <v>29.251315789473683</v>
      </c>
      <c r="K281" s="1262" t="s">
        <v>1105</v>
      </c>
      <c r="M281" s="63" t="s">
        <v>61</v>
      </c>
      <c r="N281" s="114">
        <v>98.5</v>
      </c>
      <c r="O281" s="83">
        <v>18420.495519999997</v>
      </c>
      <c r="P281" s="375">
        <f t="shared" si="50"/>
        <v>187.01010680203044</v>
      </c>
      <c r="Q281" s="1366" t="s">
        <v>1108</v>
      </c>
    </row>
    <row r="282" spans="1:17" ht="16.350000000000001" customHeight="1" x14ac:dyDescent="0.2">
      <c r="A282" s="1363" t="s">
        <v>63</v>
      </c>
      <c r="B282" s="114">
        <v>63.5</v>
      </c>
      <c r="C282" s="83">
        <v>4923.7</v>
      </c>
      <c r="D282" s="84">
        <f t="shared" si="48"/>
        <v>77.538582677165351</v>
      </c>
      <c r="E282" s="1259" t="s">
        <v>1110</v>
      </c>
      <c r="G282" s="63" t="s">
        <v>63</v>
      </c>
      <c r="H282" s="91">
        <v>164.8</v>
      </c>
      <c r="I282" s="83">
        <v>6321.54</v>
      </c>
      <c r="J282" s="375">
        <f t="shared" si="49"/>
        <v>38.358859223300968</v>
      </c>
      <c r="K282" s="1262" t="s">
        <v>1114</v>
      </c>
      <c r="M282" s="63" t="s">
        <v>63</v>
      </c>
      <c r="N282" s="114">
        <v>115.7</v>
      </c>
      <c r="O282" s="83">
        <v>19017.3</v>
      </c>
      <c r="P282" s="375">
        <f t="shared" si="50"/>
        <v>164.36732929991356</v>
      </c>
      <c r="Q282" s="1365" t="s">
        <v>1109</v>
      </c>
    </row>
    <row r="283" spans="1:17" ht="16.350000000000001" customHeight="1" x14ac:dyDescent="0.2">
      <c r="A283" s="1363" t="s">
        <v>65</v>
      </c>
      <c r="B283" s="114">
        <v>44.1</v>
      </c>
      <c r="C283" s="83">
        <v>4641.75</v>
      </c>
      <c r="D283" s="657">
        <f t="shared" si="48"/>
        <v>105.25510204081633</v>
      </c>
      <c r="E283" s="1259" t="s">
        <v>1113</v>
      </c>
      <c r="G283" s="63" t="s">
        <v>65</v>
      </c>
      <c r="H283" s="114">
        <v>152.9</v>
      </c>
      <c r="I283" s="83">
        <v>6654.28</v>
      </c>
      <c r="J283" s="88">
        <f t="shared" si="49"/>
        <v>43.520470896010458</v>
      </c>
      <c r="K283" s="1262" t="s">
        <v>1110</v>
      </c>
      <c r="M283" s="63" t="s">
        <v>65</v>
      </c>
      <c r="N283" s="114">
        <v>141</v>
      </c>
      <c r="O283" s="80">
        <v>25179.86</v>
      </c>
      <c r="P283" s="88">
        <f t="shared" si="50"/>
        <v>178.58056737588652</v>
      </c>
      <c r="Q283" s="1365" t="s">
        <v>1112</v>
      </c>
    </row>
    <row r="284" spans="1:17" ht="16.350000000000001" customHeight="1" x14ac:dyDescent="0.2">
      <c r="A284" s="1363" t="s">
        <v>67</v>
      </c>
      <c r="B284" s="114">
        <v>73.2</v>
      </c>
      <c r="C284" s="83">
        <v>5075</v>
      </c>
      <c r="D284" s="657">
        <f t="shared" si="48"/>
        <v>69.330601092896174</v>
      </c>
      <c r="E284" s="1259" t="s">
        <v>1116</v>
      </c>
      <c r="G284" s="63" t="s">
        <v>67</v>
      </c>
      <c r="H284" s="114">
        <v>164.4</v>
      </c>
      <c r="I284" s="80">
        <v>10019.370000000001</v>
      </c>
      <c r="J284" s="88">
        <f t="shared" si="49"/>
        <v>60.94507299270073</v>
      </c>
      <c r="K284" s="1262" t="s">
        <v>1113</v>
      </c>
      <c r="M284" s="63" t="s">
        <v>67</v>
      </c>
      <c r="N284" s="114">
        <v>138.5</v>
      </c>
      <c r="O284" s="80">
        <v>26896.73</v>
      </c>
      <c r="P284" s="88">
        <f t="shared" si="50"/>
        <v>194.2002166064982</v>
      </c>
      <c r="Q284" s="1365" t="s">
        <v>1128</v>
      </c>
    </row>
    <row r="285" spans="1:17" ht="16.350000000000001" customHeight="1" x14ac:dyDescent="0.2">
      <c r="A285" s="1363" t="s">
        <v>62</v>
      </c>
      <c r="B285" s="114">
        <v>184.9</v>
      </c>
      <c r="C285" s="83">
        <v>7931.57</v>
      </c>
      <c r="D285" s="657">
        <f t="shared" si="48"/>
        <v>42.896538669551106</v>
      </c>
      <c r="E285" s="1259" t="s">
        <v>1120</v>
      </c>
      <c r="G285" s="63" t="s">
        <v>62</v>
      </c>
      <c r="H285" s="114">
        <v>161.9</v>
      </c>
      <c r="I285" s="80">
        <v>12431.91</v>
      </c>
      <c r="J285" s="88">
        <f t="shared" si="49"/>
        <v>76.787584928968499</v>
      </c>
      <c r="K285" s="1261" t="s">
        <v>1116</v>
      </c>
      <c r="M285" s="459" t="s">
        <v>62</v>
      </c>
      <c r="N285" s="851">
        <v>142.19999999999999</v>
      </c>
      <c r="O285" s="852">
        <v>24376.31</v>
      </c>
      <c r="P285" s="375">
        <f t="shared" si="50"/>
        <v>171.42271448663857</v>
      </c>
      <c r="Q285" s="1367" t="s">
        <v>1129</v>
      </c>
    </row>
    <row r="286" spans="1:17" ht="16.350000000000001" customHeight="1" x14ac:dyDescent="0.2">
      <c r="A286" s="1363" t="s">
        <v>64</v>
      </c>
      <c r="B286" s="114">
        <v>183.9</v>
      </c>
      <c r="C286" s="80">
        <v>8448.26</v>
      </c>
      <c r="D286" s="657">
        <f t="shared" si="48"/>
        <v>45.939423599782494</v>
      </c>
      <c r="E286" s="1259" t="s">
        <v>1131</v>
      </c>
      <c r="G286" s="63" t="s">
        <v>64</v>
      </c>
      <c r="H286" s="114">
        <v>160.19999999999999</v>
      </c>
      <c r="I286" s="80">
        <v>7072.88</v>
      </c>
      <c r="J286" s="88">
        <f t="shared" si="49"/>
        <v>44.150312109862675</v>
      </c>
      <c r="K286" s="1261" t="s">
        <v>1120</v>
      </c>
      <c r="M286" s="63" t="s">
        <v>64</v>
      </c>
      <c r="N286" s="114">
        <v>126.2</v>
      </c>
      <c r="O286" s="83">
        <v>22662.82</v>
      </c>
      <c r="P286" s="657">
        <f t="shared" si="50"/>
        <v>179.57860538827256</v>
      </c>
      <c r="Q286" s="1365" t="s">
        <v>1130</v>
      </c>
    </row>
    <row r="287" spans="1:17" ht="16.350000000000001" customHeight="1" x14ac:dyDescent="0.2">
      <c r="A287" s="1363" t="s">
        <v>66</v>
      </c>
      <c r="B287" s="114">
        <v>186.2</v>
      </c>
      <c r="C287" s="80">
        <v>9486.48</v>
      </c>
      <c r="D287" s="657">
        <f t="shared" si="48"/>
        <v>50.947798066595062</v>
      </c>
      <c r="E287" s="1259" t="s">
        <v>1133</v>
      </c>
      <c r="G287" s="63" t="s">
        <v>66</v>
      </c>
      <c r="H287" s="114">
        <v>145.1</v>
      </c>
      <c r="I287" s="83">
        <v>7576.33</v>
      </c>
      <c r="J287" s="88">
        <f t="shared" si="49"/>
        <v>52.214541695382493</v>
      </c>
      <c r="K287" s="1261" t="s">
        <v>1131</v>
      </c>
      <c r="M287" s="63" t="s">
        <v>66</v>
      </c>
      <c r="N287" s="114">
        <v>114.3</v>
      </c>
      <c r="O287" s="80">
        <v>21161.99</v>
      </c>
      <c r="P287" s="88">
        <f t="shared" si="50"/>
        <v>185.14426946631673</v>
      </c>
      <c r="Q287" s="1365" t="s">
        <v>1134</v>
      </c>
    </row>
    <row r="288" spans="1:17" ht="16.350000000000001" customHeight="1" x14ac:dyDescent="0.2">
      <c r="A288" s="1363" t="s">
        <v>56</v>
      </c>
      <c r="B288" s="114">
        <v>133</v>
      </c>
      <c r="C288" s="83">
        <v>6668.9</v>
      </c>
      <c r="D288" s="657">
        <f t="shared" si="48"/>
        <v>50.142105263157895</v>
      </c>
      <c r="E288" s="1259" t="s">
        <v>1135</v>
      </c>
      <c r="G288" s="63" t="s">
        <v>56</v>
      </c>
      <c r="H288" s="114">
        <v>92.5</v>
      </c>
      <c r="I288" s="83">
        <v>7761.6</v>
      </c>
      <c r="J288" s="88">
        <f t="shared" si="49"/>
        <v>83.909189189189192</v>
      </c>
      <c r="K288" s="1263" t="s">
        <v>1133</v>
      </c>
      <c r="M288" s="63" t="s">
        <v>56</v>
      </c>
      <c r="N288" s="114">
        <v>100.2</v>
      </c>
      <c r="O288" s="80">
        <v>18412.27</v>
      </c>
      <c r="P288" s="88">
        <f t="shared" si="50"/>
        <v>183.75518962075847</v>
      </c>
      <c r="Q288" s="1365" t="s">
        <v>1136</v>
      </c>
    </row>
    <row r="289" spans="1:17" ht="16.350000000000001" customHeight="1" x14ac:dyDescent="0.2">
      <c r="A289" s="1368" t="s">
        <v>59</v>
      </c>
      <c r="B289" s="115">
        <v>33.5</v>
      </c>
      <c r="C289" s="795">
        <v>4552.8</v>
      </c>
      <c r="D289" s="689">
        <f t="shared" si="48"/>
        <v>135.90447761194031</v>
      </c>
      <c r="E289" s="1260" t="s">
        <v>1137</v>
      </c>
      <c r="G289" s="102" t="s">
        <v>59</v>
      </c>
      <c r="H289" s="115">
        <v>39</v>
      </c>
      <c r="I289" s="131">
        <v>7135.17</v>
      </c>
      <c r="J289" s="72">
        <f t="shared" si="49"/>
        <v>182.95307692307694</v>
      </c>
      <c r="K289" s="1264" t="s">
        <v>1138</v>
      </c>
      <c r="M289" s="102" t="s">
        <v>59</v>
      </c>
      <c r="N289" s="115">
        <v>41.4</v>
      </c>
      <c r="O289" s="70">
        <v>11680.54</v>
      </c>
      <c r="P289" s="72">
        <f t="shared" si="50"/>
        <v>282.13864734299523</v>
      </c>
      <c r="Q289" s="1369" t="s">
        <v>1139</v>
      </c>
    </row>
    <row r="290" spans="1:17" ht="16.350000000000001" customHeight="1" x14ac:dyDescent="0.35">
      <c r="A290" s="1363" t="s">
        <v>30</v>
      </c>
      <c r="B290" s="134">
        <f>SUM(B278:B289)</f>
        <v>980.09999999999991</v>
      </c>
      <c r="C290" s="84">
        <f>SUM(C278:C289)</f>
        <v>64424.610000000008</v>
      </c>
      <c r="D290" s="84">
        <f>C290/SUM(B278:B289)</f>
        <v>65.732690541781466</v>
      </c>
      <c r="E290" s="550"/>
      <c r="F290" s="803"/>
      <c r="G290" s="63" t="s">
        <v>30</v>
      </c>
      <c r="H290" s="84">
        <f>SUM(H278:H289)</f>
        <v>1473</v>
      </c>
      <c r="I290" s="84">
        <f>SUM(I278:I289)</f>
        <v>82013</v>
      </c>
      <c r="J290" s="88">
        <f>I290/SUM(H278:H289)</f>
        <v>55.677528852681604</v>
      </c>
      <c r="K290" s="551"/>
      <c r="L290" s="803"/>
      <c r="M290" s="63" t="s">
        <v>30</v>
      </c>
      <c r="N290" s="84">
        <f>SUM(N278:N289)</f>
        <v>1257.9000000000001</v>
      </c>
      <c r="O290" s="84">
        <f>SUM(O278:O289)</f>
        <v>231104.77552</v>
      </c>
      <c r="P290" s="72">
        <f t="shared" si="50"/>
        <v>183.72269299626359</v>
      </c>
      <c r="Q290" s="1370"/>
    </row>
    <row r="291" spans="1:17" ht="16.350000000000001" customHeight="1" thickBot="1" x14ac:dyDescent="0.25">
      <c r="A291" s="1373"/>
      <c r="B291" s="42"/>
      <c r="C291" s="42"/>
      <c r="D291" s="1374"/>
      <c r="E291" s="42"/>
      <c r="F291" s="42"/>
      <c r="G291" s="1375"/>
      <c r="H291" s="42"/>
      <c r="I291" s="42"/>
      <c r="J291" s="42"/>
      <c r="K291" s="42"/>
      <c r="L291" s="42"/>
      <c r="M291" s="1375"/>
      <c r="N291" s="42"/>
      <c r="O291" s="42"/>
      <c r="P291" s="42"/>
      <c r="Q291" s="1376"/>
    </row>
    <row r="292" spans="1:17" ht="16.350000000000001" customHeight="1" x14ac:dyDescent="0.2">
      <c r="A292" s="765"/>
      <c r="G292" s="46"/>
      <c r="M292" s="46"/>
      <c r="Q292" s="767"/>
    </row>
    <row r="293" spans="1:17" ht="16.350000000000001" customHeight="1" x14ac:dyDescent="0.25">
      <c r="A293" s="780"/>
      <c r="B293" s="81"/>
      <c r="C293" s="77">
        <v>2016</v>
      </c>
      <c r="D293" s="87"/>
      <c r="E293" s="86"/>
      <c r="G293" s="59"/>
      <c r="H293" s="81"/>
      <c r="I293" s="77">
        <v>2016</v>
      </c>
      <c r="J293" s="28"/>
      <c r="K293" s="86"/>
      <c r="M293" s="59"/>
      <c r="N293" s="81"/>
      <c r="O293" s="77">
        <v>2016</v>
      </c>
      <c r="P293" s="28"/>
      <c r="Q293" s="1360"/>
    </row>
    <row r="294" spans="1:17" ht="16.350000000000001" customHeight="1" x14ac:dyDescent="0.2">
      <c r="A294" s="1361"/>
      <c r="B294" s="23" t="s">
        <v>850</v>
      </c>
      <c r="C294" s="23" t="s">
        <v>848</v>
      </c>
      <c r="D294" s="688" t="s">
        <v>106</v>
      </c>
      <c r="E294" s="100"/>
      <c r="F294" s="745"/>
      <c r="G294" s="120"/>
      <c r="H294" s="23" t="s">
        <v>850</v>
      </c>
      <c r="I294" s="23" t="s">
        <v>848</v>
      </c>
      <c r="J294" s="23" t="s">
        <v>106</v>
      </c>
      <c r="K294" s="100"/>
      <c r="M294" s="101"/>
      <c r="N294" s="23" t="s">
        <v>850</v>
      </c>
      <c r="O294" s="23" t="s">
        <v>848</v>
      </c>
      <c r="P294" s="23" t="s">
        <v>106</v>
      </c>
      <c r="Q294" s="1362"/>
    </row>
    <row r="295" spans="1:17" ht="16.350000000000001" customHeight="1" x14ac:dyDescent="0.2">
      <c r="A295" s="1363" t="s">
        <v>54</v>
      </c>
      <c r="B295" s="114">
        <v>15.6</v>
      </c>
      <c r="C295" s="83">
        <v>4395.5200000000004</v>
      </c>
      <c r="D295" s="84">
        <f t="shared" ref="D295:D306" si="51">C295/B295</f>
        <v>281.76410256410259</v>
      </c>
      <c r="E295" s="1259" t="s">
        <v>1161</v>
      </c>
      <c r="G295" s="63" t="s">
        <v>54</v>
      </c>
      <c r="H295" s="114">
        <v>42.1</v>
      </c>
      <c r="I295" s="83">
        <v>4581.2299999999996</v>
      </c>
      <c r="J295" s="375">
        <f t="shared" ref="J295:J306" si="52">I295/H295</f>
        <v>108.81781472684084</v>
      </c>
      <c r="K295" s="1259" t="s">
        <v>1160</v>
      </c>
      <c r="L295" s="803"/>
      <c r="M295" s="63" t="s">
        <v>54</v>
      </c>
      <c r="N295" s="114">
        <v>46.4</v>
      </c>
      <c r="O295" s="83">
        <v>11262.9</v>
      </c>
      <c r="P295" s="375">
        <f t="shared" ref="P295:P307" si="53">O295/N295</f>
        <v>242.73491379310346</v>
      </c>
      <c r="Q295" s="1364" t="s">
        <v>1162</v>
      </c>
    </row>
    <row r="296" spans="1:17" ht="16.350000000000001" customHeight="1" x14ac:dyDescent="0.2">
      <c r="A296" s="1363" t="s">
        <v>55</v>
      </c>
      <c r="B296" s="114">
        <v>37.299999999999997</v>
      </c>
      <c r="C296" s="80">
        <v>4391</v>
      </c>
      <c r="D296" s="84">
        <f t="shared" si="51"/>
        <v>117.72117962466488</v>
      </c>
      <c r="E296" s="1259" t="s">
        <v>1140</v>
      </c>
      <c r="G296" s="63" t="s">
        <v>55</v>
      </c>
      <c r="H296" s="114">
        <v>61</v>
      </c>
      <c r="I296" s="83">
        <v>3073.42</v>
      </c>
      <c r="J296" s="375">
        <f t="shared" si="52"/>
        <v>50.383934426229509</v>
      </c>
      <c r="K296" s="1261" t="s">
        <v>1161</v>
      </c>
      <c r="M296" s="63" t="s">
        <v>55</v>
      </c>
      <c r="N296" s="114">
        <v>59.9</v>
      </c>
      <c r="O296" s="83">
        <v>14103.32</v>
      </c>
      <c r="P296" s="375">
        <f t="shared" si="53"/>
        <v>235.44774624373957</v>
      </c>
      <c r="Q296" s="1365" t="s">
        <v>1163</v>
      </c>
    </row>
    <row r="297" spans="1:17" ht="16.350000000000001" customHeight="1" x14ac:dyDescent="0.2">
      <c r="A297" s="1363" t="s">
        <v>58</v>
      </c>
      <c r="B297" s="114">
        <v>8.4</v>
      </c>
      <c r="C297" s="83">
        <v>4016.92</v>
      </c>
      <c r="D297" s="84">
        <f t="shared" si="51"/>
        <v>478.20476190476188</v>
      </c>
      <c r="E297" s="1259" t="s">
        <v>1170</v>
      </c>
      <c r="G297" s="63" t="s">
        <v>58</v>
      </c>
      <c r="H297" s="91">
        <v>55.3</v>
      </c>
      <c r="I297" s="83">
        <v>3564.28</v>
      </c>
      <c r="J297" s="375">
        <f t="shared" si="52"/>
        <v>64.453526220614833</v>
      </c>
      <c r="K297" s="1262" t="s">
        <v>1099</v>
      </c>
      <c r="M297" s="63" t="s">
        <v>58</v>
      </c>
      <c r="N297" s="114">
        <v>60.2</v>
      </c>
      <c r="O297" s="83">
        <v>12729.78</v>
      </c>
      <c r="P297" s="375">
        <f t="shared" si="53"/>
        <v>211.45813953488371</v>
      </c>
      <c r="Q297" s="1366" t="s">
        <v>1169</v>
      </c>
    </row>
    <row r="298" spans="1:17" ht="16.350000000000001" customHeight="1" x14ac:dyDescent="0.2">
      <c r="A298" s="1363" t="s">
        <v>61</v>
      </c>
      <c r="B298" s="114">
        <v>23.3</v>
      </c>
      <c r="C298" s="83">
        <v>4113.67</v>
      </c>
      <c r="D298" s="84">
        <f t="shared" si="51"/>
        <v>176.55236051502146</v>
      </c>
      <c r="E298" s="1259" t="s">
        <v>1171</v>
      </c>
      <c r="G298" s="63" t="s">
        <v>61</v>
      </c>
      <c r="H298" s="91">
        <v>85.3</v>
      </c>
      <c r="I298" s="83">
        <v>3575.45</v>
      </c>
      <c r="J298" s="375">
        <f t="shared" si="52"/>
        <v>41.916178194607269</v>
      </c>
      <c r="K298" s="1262" t="s">
        <v>1170</v>
      </c>
      <c r="M298" s="63" t="s">
        <v>61</v>
      </c>
      <c r="N298" s="114">
        <v>74</v>
      </c>
      <c r="O298" s="83">
        <v>14393.7</v>
      </c>
      <c r="P298" s="375">
        <f t="shared" si="53"/>
        <v>194.50945945945946</v>
      </c>
      <c r="Q298" s="1366" t="s">
        <v>1173</v>
      </c>
    </row>
    <row r="299" spans="1:17" ht="16.350000000000001" customHeight="1" x14ac:dyDescent="0.2">
      <c r="A299" s="1363" t="s">
        <v>63</v>
      </c>
      <c r="B299" s="114">
        <v>21.4</v>
      </c>
      <c r="C299" s="83">
        <v>4125.47</v>
      </c>
      <c r="D299" s="84">
        <f t="shared" si="51"/>
        <v>192.77897196261685</v>
      </c>
      <c r="E299" s="1259" t="s">
        <v>1175</v>
      </c>
      <c r="G299" s="63" t="s">
        <v>63</v>
      </c>
      <c r="H299" s="91">
        <v>99.7</v>
      </c>
      <c r="I299" s="83">
        <v>4132.46</v>
      </c>
      <c r="J299" s="375">
        <f t="shared" si="52"/>
        <v>41.448946840521565</v>
      </c>
      <c r="K299" s="1262" t="s">
        <v>1171</v>
      </c>
      <c r="M299" s="63" t="s">
        <v>63</v>
      </c>
      <c r="N299" s="114">
        <v>90.5</v>
      </c>
      <c r="O299" s="83">
        <v>17550.82</v>
      </c>
      <c r="P299" s="375">
        <f t="shared" si="53"/>
        <v>193.93171270718233</v>
      </c>
      <c r="Q299" s="1365" t="s">
        <v>1172</v>
      </c>
    </row>
    <row r="300" spans="1:17" ht="16.350000000000001" customHeight="1" x14ac:dyDescent="0.2">
      <c r="A300" s="1363" t="s">
        <v>65</v>
      </c>
      <c r="B300" s="114">
        <v>43.8</v>
      </c>
      <c r="C300" s="83">
        <v>5172.26</v>
      </c>
      <c r="D300" s="657">
        <f t="shared" si="51"/>
        <v>118.08812785388129</v>
      </c>
      <c r="E300" s="1259" t="s">
        <v>1178</v>
      </c>
      <c r="G300" s="63" t="s">
        <v>65</v>
      </c>
      <c r="H300" s="114">
        <v>123.4</v>
      </c>
      <c r="I300" s="83">
        <v>4781.82</v>
      </c>
      <c r="J300" s="88">
        <f t="shared" si="52"/>
        <v>38.750567260940031</v>
      </c>
      <c r="K300" s="1262" t="s">
        <v>1175</v>
      </c>
      <c r="M300" s="63" t="s">
        <v>65</v>
      </c>
      <c r="N300" s="114">
        <v>99.8</v>
      </c>
      <c r="O300" s="80">
        <v>17731.21</v>
      </c>
      <c r="P300" s="88">
        <f t="shared" si="53"/>
        <v>177.66743486973948</v>
      </c>
      <c r="Q300" s="1365" t="s">
        <v>1176</v>
      </c>
    </row>
    <row r="301" spans="1:17" ht="16.350000000000001" customHeight="1" x14ac:dyDescent="0.2">
      <c r="A301" s="1363" t="s">
        <v>67</v>
      </c>
      <c r="B301" s="114">
        <v>50.1</v>
      </c>
      <c r="C301" s="83">
        <v>5535.4</v>
      </c>
      <c r="D301" s="657">
        <f t="shared" si="51"/>
        <v>110.48702594810378</v>
      </c>
      <c r="E301" s="1259" t="s">
        <v>1179</v>
      </c>
      <c r="G301" s="63" t="s">
        <v>67</v>
      </c>
      <c r="H301" s="114">
        <v>142.30000000000001</v>
      </c>
      <c r="I301" s="80">
        <v>5424.79</v>
      </c>
      <c r="J301" s="88">
        <f t="shared" si="52"/>
        <v>38.122206605762472</v>
      </c>
      <c r="K301" s="1262" t="s">
        <v>1178</v>
      </c>
      <c r="M301" s="63" t="s">
        <v>67</v>
      </c>
      <c r="N301" s="114">
        <v>125.5</v>
      </c>
      <c r="O301" s="80">
        <v>20438.349999999999</v>
      </c>
      <c r="P301" s="88">
        <f t="shared" si="53"/>
        <v>162.85537848605577</v>
      </c>
      <c r="Q301" s="1365" t="s">
        <v>1177</v>
      </c>
    </row>
    <row r="302" spans="1:17" ht="16.350000000000001" customHeight="1" x14ac:dyDescent="0.2">
      <c r="A302" s="1363" t="s">
        <v>62</v>
      </c>
      <c r="B302" s="114">
        <v>48.7</v>
      </c>
      <c r="C302" s="83">
        <v>5155.3100000000004</v>
      </c>
      <c r="D302" s="657">
        <f t="shared" si="51"/>
        <v>105.85852156057496</v>
      </c>
      <c r="E302" s="1259" t="s">
        <v>1180</v>
      </c>
      <c r="G302" s="63" t="s">
        <v>62</v>
      </c>
      <c r="H302" s="114">
        <v>148.19999999999999</v>
      </c>
      <c r="I302" s="80">
        <v>5612.88</v>
      </c>
      <c r="J302" s="88">
        <f t="shared" si="52"/>
        <v>37.873684210526321</v>
      </c>
      <c r="K302" s="1261" t="s">
        <v>1179</v>
      </c>
      <c r="M302" s="459" t="s">
        <v>62</v>
      </c>
      <c r="N302" s="851">
        <v>122</v>
      </c>
      <c r="O302" s="852">
        <v>20821.91</v>
      </c>
      <c r="P302" s="375">
        <f t="shared" si="53"/>
        <v>170.67139344262296</v>
      </c>
      <c r="Q302" s="1367" t="s">
        <v>1181</v>
      </c>
    </row>
    <row r="303" spans="1:17" ht="16.350000000000001" customHeight="1" x14ac:dyDescent="0.2">
      <c r="A303" s="1363" t="s">
        <v>64</v>
      </c>
      <c r="B303" s="114">
        <v>62.2</v>
      </c>
      <c r="C303" s="80">
        <v>5165.8</v>
      </c>
      <c r="D303" s="657">
        <f t="shared" si="51"/>
        <v>83.051446945337617</v>
      </c>
      <c r="E303" s="1259" t="s">
        <v>1182</v>
      </c>
      <c r="G303" s="63" t="s">
        <v>64</v>
      </c>
      <c r="H303" s="114">
        <v>132.30000000000001</v>
      </c>
      <c r="I303" s="80">
        <v>5864.87</v>
      </c>
      <c r="J303" s="88">
        <f t="shared" si="52"/>
        <v>44.330083144368857</v>
      </c>
      <c r="K303" s="1261" t="s">
        <v>1180</v>
      </c>
      <c r="M303" s="63" t="s">
        <v>64</v>
      </c>
      <c r="N303" s="114">
        <v>114</v>
      </c>
      <c r="O303" s="83">
        <v>19205.71</v>
      </c>
      <c r="P303" s="657">
        <f t="shared" si="53"/>
        <v>168.47114035087719</v>
      </c>
      <c r="Q303" s="1365" t="s">
        <v>1185</v>
      </c>
    </row>
    <row r="304" spans="1:17" ht="16.350000000000001" customHeight="1" x14ac:dyDescent="0.2">
      <c r="A304" s="1363" t="s">
        <v>66</v>
      </c>
      <c r="B304" s="114">
        <v>116.2</v>
      </c>
      <c r="C304" s="80">
        <v>7066.19</v>
      </c>
      <c r="D304" s="657">
        <f t="shared" si="51"/>
        <v>60.810585197934593</v>
      </c>
      <c r="E304" s="1259" t="s">
        <v>1184</v>
      </c>
      <c r="G304" s="63" t="s">
        <v>66</v>
      </c>
      <c r="H304" s="114">
        <v>117</v>
      </c>
      <c r="I304" s="83">
        <v>5864.7</v>
      </c>
      <c r="J304" s="88">
        <f t="shared" si="52"/>
        <v>50.125641025641023</v>
      </c>
      <c r="K304" s="1261" t="s">
        <v>1182</v>
      </c>
      <c r="M304" s="63" t="s">
        <v>66</v>
      </c>
      <c r="N304" s="114">
        <v>99.2</v>
      </c>
      <c r="O304" s="80">
        <v>17160.07</v>
      </c>
      <c r="P304" s="88">
        <f t="shared" si="53"/>
        <v>172.98457661290323</v>
      </c>
      <c r="Q304" s="1365" t="s">
        <v>1186</v>
      </c>
    </row>
    <row r="305" spans="1:17" ht="16.350000000000001" customHeight="1" x14ac:dyDescent="0.2">
      <c r="A305" s="1363" t="s">
        <v>56</v>
      </c>
      <c r="B305" s="114">
        <v>85.1</v>
      </c>
      <c r="C305" s="83">
        <v>6093.45</v>
      </c>
      <c r="D305" s="657">
        <f t="shared" si="51"/>
        <v>71.603407755581671</v>
      </c>
      <c r="E305" s="1259" t="s">
        <v>963</v>
      </c>
      <c r="G305" s="63" t="s">
        <v>56</v>
      </c>
      <c r="H305" s="114">
        <v>82.3</v>
      </c>
      <c r="I305" s="83">
        <v>5429.22</v>
      </c>
      <c r="J305" s="88">
        <f t="shared" si="52"/>
        <v>65.968651275820179</v>
      </c>
      <c r="K305" s="1263" t="s">
        <v>1183</v>
      </c>
      <c r="M305" s="63" t="s">
        <v>56</v>
      </c>
      <c r="N305" s="114">
        <v>82.3</v>
      </c>
      <c r="O305" s="80">
        <v>18021.8</v>
      </c>
      <c r="P305" s="88">
        <f t="shared" si="53"/>
        <v>218.97691373025518</v>
      </c>
      <c r="Q305" s="1365" t="s">
        <v>1190</v>
      </c>
    </row>
    <row r="306" spans="1:17" ht="16.350000000000001" customHeight="1" x14ac:dyDescent="0.2">
      <c r="A306" s="1368" t="s">
        <v>59</v>
      </c>
      <c r="B306" s="115">
        <v>55.7</v>
      </c>
      <c r="C306" s="795">
        <v>5612.12</v>
      </c>
      <c r="D306" s="689">
        <f t="shared" si="51"/>
        <v>100.75619389587072</v>
      </c>
      <c r="E306" s="1260" t="s">
        <v>1055</v>
      </c>
      <c r="F306" s="745"/>
      <c r="G306" s="102" t="s">
        <v>59</v>
      </c>
      <c r="H306" s="115">
        <v>55.8</v>
      </c>
      <c r="I306" s="131">
        <v>4847.2700000000004</v>
      </c>
      <c r="J306" s="72">
        <f t="shared" si="52"/>
        <v>86.868637992831552</v>
      </c>
      <c r="K306" s="1264" t="s">
        <v>1188</v>
      </c>
      <c r="M306" s="102" t="s">
        <v>59</v>
      </c>
      <c r="N306" s="115">
        <v>59.5</v>
      </c>
      <c r="O306" s="70">
        <v>13243.88</v>
      </c>
      <c r="P306" s="72">
        <f t="shared" si="53"/>
        <v>222.58621848739494</v>
      </c>
      <c r="Q306" s="1369" t="s">
        <v>1191</v>
      </c>
    </row>
    <row r="307" spans="1:17" ht="16.350000000000001" customHeight="1" x14ac:dyDescent="0.35">
      <c r="A307" s="1363" t="s">
        <v>30</v>
      </c>
      <c r="B307" s="134">
        <f>SUM(B295:B306)</f>
        <v>567.80000000000007</v>
      </c>
      <c r="C307" s="84">
        <f>SUM(C295:C306)</f>
        <v>60843.110000000008</v>
      </c>
      <c r="D307" s="84">
        <f>C307/SUM(B295:B306)</f>
        <v>107.15588235294118</v>
      </c>
      <c r="E307" s="550"/>
      <c r="G307" s="63" t="s">
        <v>30</v>
      </c>
      <c r="H307" s="84">
        <f>SUM(H295:H306)</f>
        <v>1144.6999999999998</v>
      </c>
      <c r="I307" s="84">
        <f>SUM(I295:I306)</f>
        <v>56752.39</v>
      </c>
      <c r="J307" s="88">
        <f>I307/SUM(H295:H306)</f>
        <v>49.578396086310832</v>
      </c>
      <c r="K307" s="551"/>
      <c r="L307" s="803"/>
      <c r="M307" s="63" t="s">
        <v>30</v>
      </c>
      <c r="N307" s="84">
        <f>SUM(N295:N306)</f>
        <v>1033.3</v>
      </c>
      <c r="O307" s="84">
        <f>SUM(O295:O306)</f>
        <v>196663.44999999998</v>
      </c>
      <c r="P307" s="72">
        <f t="shared" si="53"/>
        <v>190.32560727765411</v>
      </c>
      <c r="Q307" s="1370"/>
    </row>
    <row r="308" spans="1:17" ht="16.350000000000001" customHeight="1" thickBot="1" x14ac:dyDescent="0.25">
      <c r="A308" s="781"/>
      <c r="B308" s="782"/>
      <c r="C308" s="782"/>
      <c r="D308" s="1371"/>
      <c r="E308" s="782"/>
      <c r="F308" s="782"/>
      <c r="G308" s="1372"/>
      <c r="H308" s="782"/>
      <c r="I308" s="782"/>
      <c r="J308" s="782"/>
      <c r="K308" s="782"/>
      <c r="L308" s="782"/>
      <c r="M308" s="1372"/>
      <c r="N308" s="782"/>
      <c r="O308" s="782"/>
      <c r="P308" s="782"/>
      <c r="Q308" s="784"/>
    </row>
    <row r="309" spans="1:17" ht="16.350000000000001" customHeight="1" thickTop="1" x14ac:dyDescent="0.25">
      <c r="A309" s="780"/>
      <c r="B309" s="81"/>
      <c r="C309" s="77">
        <v>2017</v>
      </c>
      <c r="D309" s="87"/>
      <c r="E309" s="86"/>
      <c r="G309" s="59"/>
      <c r="H309" s="81"/>
      <c r="I309" s="77">
        <v>2017</v>
      </c>
      <c r="J309" s="28"/>
      <c r="K309" s="86"/>
      <c r="M309" s="59"/>
      <c r="N309" s="81"/>
      <c r="O309" s="77">
        <v>2017</v>
      </c>
      <c r="P309" s="28"/>
      <c r="Q309" s="1360"/>
    </row>
    <row r="310" spans="1:17" ht="16.350000000000001" customHeight="1" x14ac:dyDescent="0.2">
      <c r="A310" s="1361"/>
      <c r="B310" s="23" t="s">
        <v>850</v>
      </c>
      <c r="C310" s="23" t="s">
        <v>848</v>
      </c>
      <c r="D310" s="688" t="s">
        <v>106</v>
      </c>
      <c r="E310" s="100"/>
      <c r="F310" s="745"/>
      <c r="G310" s="120"/>
      <c r="H310" s="23" t="s">
        <v>850</v>
      </c>
      <c r="I310" s="23" t="s">
        <v>848</v>
      </c>
      <c r="J310" s="23" t="s">
        <v>106</v>
      </c>
      <c r="K310" s="100"/>
      <c r="M310" s="101"/>
      <c r="N310" s="23" t="s">
        <v>850</v>
      </c>
      <c r="O310" s="23" t="s">
        <v>848</v>
      </c>
      <c r="P310" s="23" t="s">
        <v>106</v>
      </c>
      <c r="Q310" s="1362"/>
    </row>
    <row r="311" spans="1:17" ht="16.350000000000001" customHeight="1" x14ac:dyDescent="0.2">
      <c r="A311" s="1363" t="s">
        <v>54</v>
      </c>
      <c r="B311" s="114">
        <v>21.2</v>
      </c>
      <c r="C311" s="83">
        <v>4671.91</v>
      </c>
      <c r="D311" s="84">
        <f t="shared" ref="D311:D322" si="54">C311/B311</f>
        <v>220.37311320754716</v>
      </c>
      <c r="E311" s="1259" t="s">
        <v>1195</v>
      </c>
      <c r="G311" s="63" t="s">
        <v>54</v>
      </c>
      <c r="H311" s="114">
        <v>21.1</v>
      </c>
      <c r="I311" s="83">
        <v>3602.98</v>
      </c>
      <c r="J311" s="375">
        <f t="shared" ref="J311:J322" si="55">I311/H311</f>
        <v>170.75734597156398</v>
      </c>
      <c r="K311" s="1259" t="s">
        <v>1189</v>
      </c>
      <c r="L311" s="803"/>
      <c r="M311" s="63" t="s">
        <v>54</v>
      </c>
      <c r="N311" s="114">
        <v>38.6</v>
      </c>
      <c r="O311" s="83">
        <v>11994.45</v>
      </c>
      <c r="P311" s="375">
        <f t="shared" ref="P311:P323" si="56">O311/N311</f>
        <v>310.73704663212436</v>
      </c>
      <c r="Q311" s="1364" t="s">
        <v>1199</v>
      </c>
    </row>
    <row r="312" spans="1:17" ht="16.350000000000001" customHeight="1" x14ac:dyDescent="0.2">
      <c r="A312" s="1363" t="s">
        <v>55</v>
      </c>
      <c r="B312" s="114">
        <v>10.9</v>
      </c>
      <c r="C312" s="80">
        <v>4280.97</v>
      </c>
      <c r="D312" s="84">
        <f t="shared" si="54"/>
        <v>392.74954128440368</v>
      </c>
      <c r="E312" s="1259" t="s">
        <v>975</v>
      </c>
      <c r="G312" s="63" t="s">
        <v>55</v>
      </c>
      <c r="H312" s="114">
        <v>24.4</v>
      </c>
      <c r="I312" s="83">
        <v>2730.22</v>
      </c>
      <c r="J312" s="375">
        <f t="shared" si="55"/>
        <v>111.89426229508197</v>
      </c>
      <c r="K312" s="1261" t="s">
        <v>1193</v>
      </c>
      <c r="M312" s="63" t="s">
        <v>55</v>
      </c>
      <c r="N312" s="114">
        <v>31</v>
      </c>
      <c r="O312" s="83">
        <v>11309.22</v>
      </c>
      <c r="P312" s="375">
        <f t="shared" si="56"/>
        <v>364.81354838709677</v>
      </c>
      <c r="Q312" s="1365" t="s">
        <v>1200</v>
      </c>
    </row>
    <row r="313" spans="1:17" ht="16.350000000000001" customHeight="1" x14ac:dyDescent="0.2">
      <c r="A313" s="1363" t="s">
        <v>58</v>
      </c>
      <c r="B313" s="114">
        <v>23.1</v>
      </c>
      <c r="C313" s="83">
        <v>4384.55</v>
      </c>
      <c r="D313" s="84">
        <f t="shared" si="54"/>
        <v>189.80735930735929</v>
      </c>
      <c r="E313" s="1259" t="s">
        <v>1198</v>
      </c>
      <c r="G313" s="63" t="s">
        <v>58</v>
      </c>
      <c r="H313" s="91">
        <v>82.7</v>
      </c>
      <c r="I313" s="83">
        <v>3101.04</v>
      </c>
      <c r="J313" s="375">
        <f t="shared" si="55"/>
        <v>37.497460701330105</v>
      </c>
      <c r="K313" s="1262" t="s">
        <v>1196</v>
      </c>
      <c r="M313" s="63" t="s">
        <v>58</v>
      </c>
      <c r="N313" s="114">
        <v>63.7</v>
      </c>
      <c r="O313" s="83">
        <v>14838.39</v>
      </c>
      <c r="P313" s="375">
        <f t="shared" si="56"/>
        <v>232.94175824175821</v>
      </c>
      <c r="Q313" s="1366" t="s">
        <v>1201</v>
      </c>
    </row>
    <row r="314" spans="1:17" ht="16.350000000000001" customHeight="1" x14ac:dyDescent="0.2">
      <c r="A314" s="1363" t="s">
        <v>61</v>
      </c>
      <c r="B314" s="114">
        <v>33.700000000000003</v>
      </c>
      <c r="C314" s="83">
        <v>4950.3100000000004</v>
      </c>
      <c r="D314" s="84">
        <f t="shared" si="54"/>
        <v>146.89347181008901</v>
      </c>
      <c r="E314" s="1259" t="s">
        <v>1202</v>
      </c>
      <c r="G314" s="63" t="s">
        <v>61</v>
      </c>
      <c r="H314" s="91">
        <v>110.3</v>
      </c>
      <c r="I314" s="83">
        <v>3310.61</v>
      </c>
      <c r="J314" s="375">
        <f t="shared" si="55"/>
        <v>30.01459655485041</v>
      </c>
      <c r="K314" s="1262" t="s">
        <v>1197</v>
      </c>
      <c r="M314" s="63" t="s">
        <v>61</v>
      </c>
      <c r="N314" s="114">
        <v>94.8</v>
      </c>
      <c r="O314" s="83">
        <v>19801.52</v>
      </c>
      <c r="P314" s="375">
        <f t="shared" si="56"/>
        <v>208.87679324894515</v>
      </c>
      <c r="Q314" s="1366" t="s">
        <v>1206</v>
      </c>
    </row>
    <row r="315" spans="1:17" ht="16.350000000000001" customHeight="1" x14ac:dyDescent="0.2">
      <c r="A315" s="1363" t="s">
        <v>63</v>
      </c>
      <c r="B315" s="114">
        <v>49</v>
      </c>
      <c r="C315" s="83">
        <v>5211.3100000000004</v>
      </c>
      <c r="D315" s="84">
        <f t="shared" si="54"/>
        <v>106.35326530612245</v>
      </c>
      <c r="E315" s="1259" t="s">
        <v>949</v>
      </c>
      <c r="G315" s="63" t="s">
        <v>63</v>
      </c>
      <c r="H315" s="91">
        <v>135.19999999999999</v>
      </c>
      <c r="I315" s="83">
        <v>4551.93</v>
      </c>
      <c r="J315" s="375">
        <f t="shared" si="55"/>
        <v>33.668121301775152</v>
      </c>
      <c r="K315" s="1262" t="s">
        <v>1203</v>
      </c>
      <c r="M315" s="63" t="s">
        <v>63</v>
      </c>
      <c r="N315" s="114">
        <v>99.5</v>
      </c>
      <c r="O315" s="83">
        <v>19284.919999999998</v>
      </c>
      <c r="P315" s="375">
        <f t="shared" si="56"/>
        <v>193.81829145728642</v>
      </c>
      <c r="Q315" s="1365" t="s">
        <v>1207</v>
      </c>
    </row>
    <row r="316" spans="1:17" ht="16.350000000000001" customHeight="1" x14ac:dyDescent="0.2">
      <c r="A316" s="1363" t="s">
        <v>65</v>
      </c>
      <c r="B316" s="114">
        <v>49.1</v>
      </c>
      <c r="C316" s="83">
        <v>5642.4</v>
      </c>
      <c r="D316" s="84">
        <f t="shared" si="54"/>
        <v>114.91649694501017</v>
      </c>
      <c r="E316" s="1259" t="s">
        <v>1209</v>
      </c>
      <c r="G316" s="63" t="s">
        <v>65</v>
      </c>
      <c r="H316" s="114">
        <v>140.30000000000001</v>
      </c>
      <c r="I316" s="83">
        <v>6020.5</v>
      </c>
      <c r="J316" s="375">
        <f t="shared" si="55"/>
        <v>42.911617961511041</v>
      </c>
      <c r="K316" s="1262" t="s">
        <v>1204</v>
      </c>
      <c r="M316" s="63" t="s">
        <v>65</v>
      </c>
      <c r="N316" s="114">
        <v>111.9</v>
      </c>
      <c r="O316" s="80">
        <v>19899.009999999998</v>
      </c>
      <c r="P316" s="88">
        <f t="shared" si="56"/>
        <v>177.82850759606791</v>
      </c>
      <c r="Q316" s="1365" t="s">
        <v>1208</v>
      </c>
    </row>
    <row r="317" spans="1:17" ht="16.350000000000001" customHeight="1" x14ac:dyDescent="0.2">
      <c r="A317" s="1363" t="s">
        <v>67</v>
      </c>
      <c r="B317" s="114">
        <v>69.900000000000006</v>
      </c>
      <c r="C317" s="83">
        <v>6349.65</v>
      </c>
      <c r="D317" s="84">
        <f t="shared" si="54"/>
        <v>90.839055793991406</v>
      </c>
      <c r="E317" s="1259" t="s">
        <v>1211</v>
      </c>
      <c r="G317" s="63" t="s">
        <v>67</v>
      </c>
      <c r="H317" s="118">
        <v>168.3</v>
      </c>
      <c r="I317" s="80">
        <v>6511.26</v>
      </c>
      <c r="J317" s="375">
        <f t="shared" si="55"/>
        <v>38.688413547237076</v>
      </c>
      <c r="K317" s="1262" t="s">
        <v>1210</v>
      </c>
      <c r="M317" s="63" t="s">
        <v>67</v>
      </c>
      <c r="N317" s="114">
        <v>128.1</v>
      </c>
      <c r="O317" s="80">
        <v>22392.54</v>
      </c>
      <c r="P317" s="88">
        <f t="shared" si="56"/>
        <v>174.80515222482438</v>
      </c>
      <c r="Q317" s="1365" t="s">
        <v>1213</v>
      </c>
    </row>
    <row r="318" spans="1:17" ht="16.350000000000001" customHeight="1" x14ac:dyDescent="0.2">
      <c r="A318" s="1363" t="s">
        <v>62</v>
      </c>
      <c r="B318" s="114">
        <v>77.7</v>
      </c>
      <c r="C318" s="83">
        <v>6939.18</v>
      </c>
      <c r="D318" s="84">
        <f t="shared" si="54"/>
        <v>89.307335907335911</v>
      </c>
      <c r="E318" s="1259" t="s">
        <v>953</v>
      </c>
      <c r="G318" s="63" t="s">
        <v>62</v>
      </c>
      <c r="H318" s="118">
        <v>171.4</v>
      </c>
      <c r="I318" s="80">
        <v>6836.95</v>
      </c>
      <c r="J318" s="375">
        <f t="shared" si="55"/>
        <v>39.888856476079347</v>
      </c>
      <c r="K318" s="1261" t="s">
        <v>1214</v>
      </c>
      <c r="M318" s="459" t="s">
        <v>62</v>
      </c>
      <c r="N318" s="851">
        <v>129.1</v>
      </c>
      <c r="O318" s="852">
        <v>21848.83</v>
      </c>
      <c r="P318" s="375">
        <f t="shared" si="56"/>
        <v>169.23958171959723</v>
      </c>
      <c r="Q318" s="1367" t="s">
        <v>1217</v>
      </c>
    </row>
    <row r="319" spans="1:17" ht="16.350000000000001" customHeight="1" x14ac:dyDescent="0.2">
      <c r="A319" s="1363" t="s">
        <v>64</v>
      </c>
      <c r="B319" s="114">
        <v>95.6</v>
      </c>
      <c r="C319" s="80">
        <v>7308.48</v>
      </c>
      <c r="D319" s="84">
        <f t="shared" si="54"/>
        <v>76.448535564853557</v>
      </c>
      <c r="E319" s="1259" t="s">
        <v>1220</v>
      </c>
      <c r="G319" s="63" t="s">
        <v>64</v>
      </c>
      <c r="H319" s="118">
        <v>168.5</v>
      </c>
      <c r="I319" s="80">
        <v>6622.29</v>
      </c>
      <c r="J319" s="375">
        <f t="shared" si="55"/>
        <v>39.301424332344212</v>
      </c>
      <c r="K319" s="1261" t="s">
        <v>893</v>
      </c>
      <c r="M319" s="63" t="s">
        <v>64</v>
      </c>
      <c r="N319" s="114">
        <v>110</v>
      </c>
      <c r="O319" s="83">
        <v>18912.759999999998</v>
      </c>
      <c r="P319" s="657">
        <f t="shared" si="56"/>
        <v>171.9341818181818</v>
      </c>
      <c r="Q319" s="1365" t="s">
        <v>1218</v>
      </c>
    </row>
    <row r="320" spans="1:17" ht="16.350000000000001" customHeight="1" x14ac:dyDescent="0.2">
      <c r="A320" s="1363" t="s">
        <v>66</v>
      </c>
      <c r="B320" s="114">
        <v>151.80000000000001</v>
      </c>
      <c r="C320" s="80">
        <v>8163.07</v>
      </c>
      <c r="D320" s="84">
        <f t="shared" si="54"/>
        <v>53.775164690382077</v>
      </c>
      <c r="E320" s="1259" t="s">
        <v>1224</v>
      </c>
      <c r="G320" s="63" t="s">
        <v>66</v>
      </c>
      <c r="H320" s="114">
        <v>168.2</v>
      </c>
      <c r="I320" s="83">
        <v>7375.47</v>
      </c>
      <c r="J320" s="375">
        <f t="shared" si="55"/>
        <v>43.849405469678956</v>
      </c>
      <c r="K320" s="1261" t="s">
        <v>1219</v>
      </c>
      <c r="M320" s="63" t="s">
        <v>66</v>
      </c>
      <c r="N320" s="114">
        <v>118.8</v>
      </c>
      <c r="O320" s="80">
        <v>20782.22</v>
      </c>
      <c r="P320" s="88">
        <f t="shared" si="56"/>
        <v>174.93451178451181</v>
      </c>
      <c r="Q320" s="1365" t="s">
        <v>1222</v>
      </c>
    </row>
    <row r="321" spans="1:17" ht="16.350000000000001" customHeight="1" x14ac:dyDescent="0.2">
      <c r="A321" s="1363" t="s">
        <v>56</v>
      </c>
      <c r="B321" s="114">
        <v>100.8</v>
      </c>
      <c r="C321" s="83">
        <v>6838.17</v>
      </c>
      <c r="D321" s="84">
        <f t="shared" si="54"/>
        <v>67.838988095238093</v>
      </c>
      <c r="E321" s="1259" t="s">
        <v>1052</v>
      </c>
      <c r="G321" s="63" t="s">
        <v>56</v>
      </c>
      <c r="H321" s="114">
        <v>120.6</v>
      </c>
      <c r="I321" s="83">
        <v>6807.74</v>
      </c>
      <c r="J321" s="375">
        <f t="shared" si="55"/>
        <v>56.448922056384745</v>
      </c>
      <c r="K321" s="1263" t="s">
        <v>1223</v>
      </c>
      <c r="M321" s="63" t="s">
        <v>56</v>
      </c>
      <c r="N321" s="114">
        <v>90.4</v>
      </c>
      <c r="O321" s="80">
        <v>18641.57</v>
      </c>
      <c r="P321" s="88">
        <f t="shared" si="56"/>
        <v>206.21205752212387</v>
      </c>
      <c r="Q321" s="1365" t="s">
        <v>1226</v>
      </c>
    </row>
    <row r="322" spans="1:17" ht="16.350000000000001" customHeight="1" x14ac:dyDescent="0.2">
      <c r="A322" s="1368" t="s">
        <v>59</v>
      </c>
      <c r="B322" s="115">
        <v>143.69999999999999</v>
      </c>
      <c r="C322" s="795">
        <v>7852.63</v>
      </c>
      <c r="D322" s="84">
        <f t="shared" si="54"/>
        <v>54.645998608211556</v>
      </c>
      <c r="E322" s="1260" t="s">
        <v>1228</v>
      </c>
      <c r="F322" s="745"/>
      <c r="G322" s="102" t="s">
        <v>59</v>
      </c>
      <c r="H322" s="115">
        <v>127.9</v>
      </c>
      <c r="I322" s="131">
        <v>6107.13</v>
      </c>
      <c r="J322" s="375">
        <f t="shared" si="55"/>
        <v>47.749257232212663</v>
      </c>
      <c r="K322" s="1264" t="s">
        <v>1225</v>
      </c>
      <c r="M322" s="102" t="s">
        <v>59</v>
      </c>
      <c r="N322" s="115">
        <v>90.1</v>
      </c>
      <c r="O322" s="70">
        <v>17521.419999999998</v>
      </c>
      <c r="P322" s="72">
        <f t="shared" si="56"/>
        <v>194.46637069922309</v>
      </c>
      <c r="Q322" s="1369" t="s">
        <v>1229</v>
      </c>
    </row>
    <row r="323" spans="1:17" ht="16.350000000000001" customHeight="1" x14ac:dyDescent="0.35">
      <c r="A323" s="1363" t="s">
        <v>30</v>
      </c>
      <c r="B323" s="134">
        <f>SUM(B311:B322)</f>
        <v>826.5</v>
      </c>
      <c r="C323" s="84">
        <f>SUM(C311:C322)</f>
        <v>72592.63</v>
      </c>
      <c r="D323" s="84">
        <f>C323/SUM(B311:B322)</f>
        <v>87.831373260738062</v>
      </c>
      <c r="E323" s="550"/>
      <c r="G323" s="63" t="s">
        <v>30</v>
      </c>
      <c r="H323" s="84">
        <f>SUM(H311:H322)</f>
        <v>1438.8999999999999</v>
      </c>
      <c r="I323" s="84">
        <f>SUM(I311:I322)</f>
        <v>63578.119999999995</v>
      </c>
      <c r="J323" s="88">
        <f>I323/SUM(H311:H322)</f>
        <v>44.185224824518734</v>
      </c>
      <c r="K323" s="551"/>
      <c r="L323" s="803"/>
      <c r="M323" s="63" t="s">
        <v>30</v>
      </c>
      <c r="N323" s="84">
        <f>SUM(N311:N322)</f>
        <v>1106</v>
      </c>
      <c r="O323" s="84">
        <f>SUM(O311:O322)</f>
        <v>217226.85000000003</v>
      </c>
      <c r="P323" s="88">
        <f t="shared" si="56"/>
        <v>196.40764014466549</v>
      </c>
      <c r="Q323" s="1370"/>
    </row>
    <row r="324" spans="1:17" ht="16.350000000000001" customHeight="1" thickBot="1" x14ac:dyDescent="0.25">
      <c r="A324" s="781"/>
      <c r="B324" s="782"/>
      <c r="C324" s="782"/>
      <c r="D324" s="1371"/>
      <c r="E324" s="782"/>
      <c r="F324" s="782"/>
      <c r="G324" s="1372"/>
      <c r="H324" s="782"/>
      <c r="I324" s="782"/>
      <c r="J324" s="782"/>
      <c r="K324" s="782"/>
      <c r="L324" s="782"/>
      <c r="M324" s="1372"/>
      <c r="N324" s="782"/>
      <c r="O324" s="782"/>
      <c r="P324" s="782"/>
      <c r="Q324" s="784"/>
    </row>
    <row r="325" spans="1:17" ht="16.350000000000001" customHeight="1" thickTop="1" x14ac:dyDescent="0.25">
      <c r="A325" s="780"/>
      <c r="B325" s="81"/>
      <c r="C325" s="77">
        <v>2018</v>
      </c>
      <c r="D325" s="87"/>
      <c r="E325" s="86"/>
      <c r="G325" s="59"/>
      <c r="H325" s="81"/>
      <c r="I325" s="77">
        <v>2018</v>
      </c>
      <c r="J325" s="28"/>
      <c r="K325" s="86"/>
      <c r="M325" s="59"/>
      <c r="N325" s="81"/>
      <c r="O325" s="77">
        <v>2018</v>
      </c>
      <c r="P325" s="28"/>
      <c r="Q325" s="1360"/>
    </row>
    <row r="326" spans="1:17" ht="16.350000000000001" customHeight="1" x14ac:dyDescent="0.2">
      <c r="A326" s="1361"/>
      <c r="B326" s="23" t="s">
        <v>850</v>
      </c>
      <c r="C326" s="23" t="s">
        <v>848</v>
      </c>
      <c r="D326" s="688" t="s">
        <v>106</v>
      </c>
      <c r="E326" s="100"/>
      <c r="F326" s="745"/>
      <c r="G326" s="120"/>
      <c r="H326" s="23" t="s">
        <v>850</v>
      </c>
      <c r="I326" s="23" t="s">
        <v>848</v>
      </c>
      <c r="J326" s="23" t="s">
        <v>106</v>
      </c>
      <c r="K326" s="100"/>
      <c r="M326" s="101"/>
      <c r="N326" s="23" t="s">
        <v>850</v>
      </c>
      <c r="O326" s="23" t="s">
        <v>848</v>
      </c>
      <c r="P326" s="23" t="s">
        <v>106</v>
      </c>
      <c r="Q326" s="1362"/>
    </row>
    <row r="327" spans="1:17" ht="16.350000000000001" customHeight="1" x14ac:dyDescent="0.2">
      <c r="A327" s="1363" t="s">
        <v>54</v>
      </c>
      <c r="B327" s="114">
        <v>27.5</v>
      </c>
      <c r="C327" s="83">
        <v>5811.85</v>
      </c>
      <c r="D327" s="84">
        <f t="shared" ref="D327:D338" si="57">C327/B327</f>
        <v>211.34</v>
      </c>
      <c r="E327" s="1259" t="s">
        <v>1233</v>
      </c>
      <c r="G327" s="63" t="s">
        <v>54</v>
      </c>
      <c r="H327" s="114">
        <v>85.5</v>
      </c>
      <c r="I327" s="83">
        <v>5751.41</v>
      </c>
      <c r="J327" s="375">
        <f t="shared" ref="J327:J338" si="58">I327/H327</f>
        <v>67.267953216374266</v>
      </c>
      <c r="K327" s="1259" t="s">
        <v>1230</v>
      </c>
      <c r="L327" s="803"/>
      <c r="M327" s="63" t="s">
        <v>54</v>
      </c>
      <c r="N327" s="114">
        <v>77.2</v>
      </c>
      <c r="O327" s="83">
        <v>17984.009999999998</v>
      </c>
      <c r="P327" s="375">
        <f t="shared" ref="P327:P339" si="59">O327/N327</f>
        <v>232.95349740932639</v>
      </c>
      <c r="Q327" s="1364" t="s">
        <v>1234</v>
      </c>
    </row>
    <row r="328" spans="1:17" ht="16.350000000000001" customHeight="1" x14ac:dyDescent="0.2">
      <c r="A328" s="1363" t="s">
        <v>55</v>
      </c>
      <c r="B328" s="114">
        <v>38.299999999999997</v>
      </c>
      <c r="C328" s="80">
        <v>5290.68</v>
      </c>
      <c r="D328" s="84">
        <f t="shared" si="57"/>
        <v>138.13785900783293</v>
      </c>
      <c r="E328" s="1259" t="s">
        <v>1238</v>
      </c>
      <c r="G328" s="63" t="s">
        <v>55</v>
      </c>
      <c r="H328" s="114">
        <v>95.7</v>
      </c>
      <c r="I328" s="83">
        <v>4712.45</v>
      </c>
      <c r="J328" s="375">
        <f t="shared" si="58"/>
        <v>49.24190177638453</v>
      </c>
      <c r="K328" s="1261" t="s">
        <v>1195</v>
      </c>
      <c r="M328" s="63" t="s">
        <v>55</v>
      </c>
      <c r="N328" s="114">
        <v>77.8</v>
      </c>
      <c r="O328" s="83">
        <v>17428.12</v>
      </c>
      <c r="P328" s="375">
        <f t="shared" si="59"/>
        <v>224.01182519280206</v>
      </c>
      <c r="Q328" s="1365" t="s">
        <v>1100</v>
      </c>
    </row>
    <row r="329" spans="1:17" ht="16.350000000000001" customHeight="1" x14ac:dyDescent="0.2">
      <c r="A329" s="1363" t="s">
        <v>58</v>
      </c>
      <c r="B329" s="114">
        <v>21.4</v>
      </c>
      <c r="C329" s="83">
        <v>4886.34</v>
      </c>
      <c r="D329" s="84">
        <f t="shared" si="57"/>
        <v>228.33364485981312</v>
      </c>
      <c r="E329" s="1259" t="s">
        <v>1240</v>
      </c>
      <c r="G329" s="63" t="s">
        <v>58</v>
      </c>
      <c r="H329" s="91">
        <v>42.6</v>
      </c>
      <c r="I329" s="83">
        <v>5837</v>
      </c>
      <c r="J329" s="375">
        <f t="shared" si="58"/>
        <v>137.01877934272301</v>
      </c>
      <c r="K329" s="1262" t="s">
        <v>1239</v>
      </c>
      <c r="M329" s="63" t="s">
        <v>58</v>
      </c>
      <c r="N329" s="114">
        <v>69.599999999999994</v>
      </c>
      <c r="O329" s="83">
        <v>16689.37</v>
      </c>
      <c r="P329" s="375">
        <f t="shared" si="59"/>
        <v>239.78979885057473</v>
      </c>
      <c r="Q329" s="1366" t="s">
        <v>1242</v>
      </c>
    </row>
    <row r="330" spans="1:17" ht="16.350000000000001" customHeight="1" x14ac:dyDescent="0.2">
      <c r="A330" s="1363" t="s">
        <v>61</v>
      </c>
      <c r="B330" s="114">
        <v>40.4</v>
      </c>
      <c r="C330" s="83">
        <v>5228.9799999999996</v>
      </c>
      <c r="D330" s="84">
        <f t="shared" si="57"/>
        <v>129.43019801980196</v>
      </c>
      <c r="E330" s="1259" t="s">
        <v>1244</v>
      </c>
      <c r="G330" s="63" t="s">
        <v>61</v>
      </c>
      <c r="H330" s="91">
        <v>125.7</v>
      </c>
      <c r="I330" s="83">
        <v>3512.93</v>
      </c>
      <c r="J330" s="375">
        <f t="shared" si="58"/>
        <v>27.946937151949083</v>
      </c>
      <c r="K330" s="1262" t="s">
        <v>1241</v>
      </c>
      <c r="M330" s="63" t="s">
        <v>61</v>
      </c>
      <c r="N330" s="114">
        <v>96.1</v>
      </c>
      <c r="O330" s="83">
        <v>20264.03</v>
      </c>
      <c r="P330" s="375">
        <f t="shared" si="59"/>
        <v>210.86399583766911</v>
      </c>
      <c r="Q330" s="1366" t="s">
        <v>1243</v>
      </c>
    </row>
    <row r="331" spans="1:17" ht="16.350000000000001" customHeight="1" x14ac:dyDescent="0.2">
      <c r="A331" s="1363" t="s">
        <v>63</v>
      </c>
      <c r="B331" s="114">
        <v>53.8</v>
      </c>
      <c r="C331" s="83">
        <v>5495.55</v>
      </c>
      <c r="D331" s="84">
        <f t="shared" si="57"/>
        <v>102.14776951672863</v>
      </c>
      <c r="E331" s="1259" t="s">
        <v>983</v>
      </c>
      <c r="G331" s="63" t="s">
        <v>63</v>
      </c>
      <c r="H331" s="91">
        <v>147.4</v>
      </c>
      <c r="I331" s="83">
        <v>5862.9</v>
      </c>
      <c r="J331" s="375">
        <f t="shared" si="58"/>
        <v>39.77544097693351</v>
      </c>
      <c r="K331" s="1262" t="s">
        <v>1202</v>
      </c>
      <c r="M331" s="63" t="s">
        <v>63</v>
      </c>
      <c r="N331" s="114">
        <v>141.1</v>
      </c>
      <c r="O331" s="83">
        <v>27332.16</v>
      </c>
      <c r="P331" s="375">
        <f t="shared" si="59"/>
        <v>193.70772501771793</v>
      </c>
      <c r="Q331" s="1365" t="s">
        <v>1109</v>
      </c>
    </row>
    <row r="332" spans="1:17" ht="16.350000000000001" customHeight="1" x14ac:dyDescent="0.2">
      <c r="A332" s="1363" t="s">
        <v>65</v>
      </c>
      <c r="B332" s="114">
        <v>101</v>
      </c>
      <c r="C332" s="83">
        <v>8639</v>
      </c>
      <c r="D332" s="84">
        <f t="shared" si="57"/>
        <v>85.534653465346537</v>
      </c>
      <c r="E332" s="1259" t="s">
        <v>1246</v>
      </c>
      <c r="G332" s="63" t="s">
        <v>65</v>
      </c>
      <c r="H332" s="114">
        <v>181.1</v>
      </c>
      <c r="I332" s="83">
        <v>6689.57</v>
      </c>
      <c r="J332" s="375">
        <f t="shared" si="58"/>
        <v>36.93854224185533</v>
      </c>
      <c r="K332" s="1262" t="s">
        <v>949</v>
      </c>
      <c r="M332" s="63" t="s">
        <v>65</v>
      </c>
      <c r="N332" s="114">
        <v>176.4</v>
      </c>
      <c r="O332" s="80">
        <v>41923.97</v>
      </c>
      <c r="P332" s="88">
        <f t="shared" si="59"/>
        <v>237.6642290249433</v>
      </c>
      <c r="Q332" s="1365" t="s">
        <v>1245</v>
      </c>
    </row>
    <row r="333" spans="1:17" ht="16.350000000000001" customHeight="1" x14ac:dyDescent="0.2">
      <c r="A333" s="1363" t="s">
        <v>67</v>
      </c>
      <c r="B333" s="114">
        <v>96.6</v>
      </c>
      <c r="C333" s="83">
        <v>7041.42</v>
      </c>
      <c r="D333" s="84">
        <f t="shared" si="57"/>
        <v>72.89254658385093</v>
      </c>
      <c r="E333" s="1259" t="s">
        <v>1249</v>
      </c>
      <c r="G333" s="63" t="s">
        <v>67</v>
      </c>
      <c r="H333" s="118">
        <v>224.6</v>
      </c>
      <c r="I333" s="80">
        <v>10493.65</v>
      </c>
      <c r="J333" s="375">
        <f t="shared" si="58"/>
        <v>46.721504897595729</v>
      </c>
      <c r="K333" s="1262" t="s">
        <v>1209</v>
      </c>
      <c r="M333" s="63" t="s">
        <v>67</v>
      </c>
      <c r="N333" s="114">
        <v>191.8</v>
      </c>
      <c r="O333" s="80">
        <v>40931.040000000001</v>
      </c>
      <c r="P333" s="88">
        <f t="shared" si="59"/>
        <v>213.40479666319081</v>
      </c>
      <c r="Q333" s="1365" t="s">
        <v>1247</v>
      </c>
    </row>
    <row r="334" spans="1:17" ht="16.350000000000001" customHeight="1" x14ac:dyDescent="0.2">
      <c r="A334" s="1363" t="s">
        <v>62</v>
      </c>
      <c r="B334" s="114">
        <v>104.7</v>
      </c>
      <c r="C334" s="83">
        <v>7970.83</v>
      </c>
      <c r="D334" s="84">
        <f t="shared" si="57"/>
        <v>76.130181470869147</v>
      </c>
      <c r="E334" s="1259" t="s">
        <v>991</v>
      </c>
      <c r="G334" s="63" t="s">
        <v>62</v>
      </c>
      <c r="H334" s="118">
        <v>226.9</v>
      </c>
      <c r="I334" s="80">
        <v>8517.16</v>
      </c>
      <c r="J334" s="375">
        <f t="shared" si="58"/>
        <v>37.537064786249445</v>
      </c>
      <c r="K334" s="1261" t="s">
        <v>1116</v>
      </c>
      <c r="M334" s="459" t="s">
        <v>62</v>
      </c>
      <c r="N334" s="851">
        <v>130.6</v>
      </c>
      <c r="O334" s="852">
        <v>21142.27</v>
      </c>
      <c r="P334" s="375">
        <f t="shared" si="59"/>
        <v>161.88568147013783</v>
      </c>
      <c r="Q334" s="1367" t="s">
        <v>1129</v>
      </c>
    </row>
    <row r="335" spans="1:17" ht="16.350000000000001" customHeight="1" x14ac:dyDescent="0.2">
      <c r="A335" s="1363" t="s">
        <v>64</v>
      </c>
      <c r="B335" s="114">
        <v>73.2</v>
      </c>
      <c r="C335" s="80">
        <v>6765.37</v>
      </c>
      <c r="D335" s="84">
        <f t="shared" si="57"/>
        <v>92.423087431693986</v>
      </c>
      <c r="E335" s="1259" t="s">
        <v>1048</v>
      </c>
      <c r="G335" s="63" t="s">
        <v>64</v>
      </c>
      <c r="H335" s="118">
        <v>178.8</v>
      </c>
      <c r="I335" s="80">
        <v>8905.4699999999993</v>
      </c>
      <c r="J335" s="375">
        <f t="shared" si="58"/>
        <v>49.806879194630866</v>
      </c>
      <c r="K335" s="1261" t="s">
        <v>1250</v>
      </c>
      <c r="M335" s="63" t="s">
        <v>64</v>
      </c>
      <c r="N335" s="114">
        <v>122.1</v>
      </c>
      <c r="O335" s="83">
        <v>20241.466061413197</v>
      </c>
      <c r="P335" s="657">
        <f t="shared" si="59"/>
        <v>165.77777282074692</v>
      </c>
      <c r="Q335" s="1365" t="s">
        <v>1253</v>
      </c>
    </row>
    <row r="336" spans="1:17" ht="16.350000000000001" customHeight="1" x14ac:dyDescent="0.2">
      <c r="A336" s="1363" t="s">
        <v>66</v>
      </c>
      <c r="B336" s="114">
        <v>51.3</v>
      </c>
      <c r="C336" s="80">
        <v>5850.84</v>
      </c>
      <c r="D336" s="84">
        <f t="shared" si="57"/>
        <v>114.0514619883041</v>
      </c>
      <c r="E336" s="1259" t="s">
        <v>1255</v>
      </c>
      <c r="G336" s="63" t="s">
        <v>66</v>
      </c>
      <c r="H336" s="114">
        <v>131.6</v>
      </c>
      <c r="I336" s="83">
        <v>7352.85</v>
      </c>
      <c r="J336" s="375">
        <f t="shared" si="58"/>
        <v>55.872720364741646</v>
      </c>
      <c r="K336" s="1261" t="s">
        <v>1220</v>
      </c>
      <c r="M336" s="63" t="s">
        <v>66</v>
      </c>
      <c r="N336" s="114">
        <v>98.3</v>
      </c>
      <c r="O336" s="80">
        <v>17529.04</v>
      </c>
      <c r="P336" s="88">
        <f t="shared" si="59"/>
        <v>178.32187182095626</v>
      </c>
      <c r="Q336" s="1365" t="s">
        <v>1254</v>
      </c>
    </row>
    <row r="337" spans="1:17" ht="16.350000000000001" customHeight="1" x14ac:dyDescent="0.2">
      <c r="A337" s="1363" t="s">
        <v>56</v>
      </c>
      <c r="B337" s="114">
        <v>146.6</v>
      </c>
      <c r="C337" s="83">
        <v>9942.44</v>
      </c>
      <c r="D337" s="84">
        <f t="shared" si="57"/>
        <v>67.82019099590724</v>
      </c>
      <c r="E337" s="1259" t="s">
        <v>1257</v>
      </c>
      <c r="G337" s="63" t="s">
        <v>56</v>
      </c>
      <c r="H337" s="114">
        <v>115.1</v>
      </c>
      <c r="I337" s="83">
        <v>6071.72</v>
      </c>
      <c r="J337" s="375">
        <f t="shared" si="58"/>
        <v>52.751694178974809</v>
      </c>
      <c r="K337" s="1263" t="s">
        <v>1224</v>
      </c>
      <c r="M337" s="63" t="s">
        <v>56</v>
      </c>
      <c r="N337" s="114">
        <v>100.9</v>
      </c>
      <c r="O337" s="80">
        <v>20993.5</v>
      </c>
      <c r="P337" s="88">
        <f t="shared" si="59"/>
        <v>208.06243805748264</v>
      </c>
      <c r="Q337" s="1365" t="s">
        <v>1256</v>
      </c>
    </row>
    <row r="338" spans="1:17" ht="16.350000000000001" customHeight="1" x14ac:dyDescent="0.2">
      <c r="A338" s="1368" t="s">
        <v>59</v>
      </c>
      <c r="B338" s="115">
        <v>57.6</v>
      </c>
      <c r="C338" s="795">
        <v>5954.05</v>
      </c>
      <c r="D338" s="84">
        <f t="shared" si="57"/>
        <v>103.36892361111111</v>
      </c>
      <c r="E338" s="1260" t="s">
        <v>1266</v>
      </c>
      <c r="F338" s="745"/>
      <c r="G338" s="102" t="s">
        <v>59</v>
      </c>
      <c r="H338" s="115">
        <v>48.9</v>
      </c>
      <c r="I338" s="131">
        <v>6901.05</v>
      </c>
      <c r="J338" s="375">
        <f t="shared" si="58"/>
        <v>141.12576687116564</v>
      </c>
      <c r="K338" s="1264" t="s">
        <v>1021</v>
      </c>
      <c r="M338" s="102" t="s">
        <v>59</v>
      </c>
      <c r="N338" s="115">
        <v>54.9</v>
      </c>
      <c r="O338" s="70">
        <v>14470.54</v>
      </c>
      <c r="P338" s="72">
        <f t="shared" si="59"/>
        <v>263.57996357012752</v>
      </c>
      <c r="Q338" s="1369" t="s">
        <v>1270</v>
      </c>
    </row>
    <row r="339" spans="1:17" ht="16.350000000000001" customHeight="1" x14ac:dyDescent="0.35">
      <c r="A339" s="1363" t="s">
        <v>30</v>
      </c>
      <c r="B339" s="134">
        <f>SUM(B327:B338)</f>
        <v>812.4</v>
      </c>
      <c r="C339" s="84">
        <f>SUM(C327:C338)</f>
        <v>78877.350000000006</v>
      </c>
      <c r="D339" s="84">
        <f>C339/SUM(B327:B338)</f>
        <v>97.091765140324966</v>
      </c>
      <c r="E339" s="550"/>
      <c r="G339" s="63" t="s">
        <v>30</v>
      </c>
      <c r="H339" s="84">
        <f>SUM(H327:H338)</f>
        <v>1603.8999999999999</v>
      </c>
      <c r="I339" s="84">
        <f>SUM(I327:I338)</f>
        <v>80608.160000000018</v>
      </c>
      <c r="J339" s="88">
        <f>I339/SUM(H327:H338)</f>
        <v>50.257597107051581</v>
      </c>
      <c r="K339" s="551"/>
      <c r="L339" s="803"/>
      <c r="M339" s="63" t="s">
        <v>30</v>
      </c>
      <c r="N339" s="84">
        <f>SUM(N327:N338)</f>
        <v>1336.8000000000002</v>
      </c>
      <c r="O339" s="84">
        <f>SUM(O327:O338)</f>
        <v>276929.51606141316</v>
      </c>
      <c r="P339" s="88">
        <f t="shared" si="59"/>
        <v>207.15852488136829</v>
      </c>
      <c r="Q339" s="1370"/>
    </row>
    <row r="340" spans="1:17" ht="16.350000000000001" customHeight="1" thickBot="1" x14ac:dyDescent="0.25">
      <c r="A340" s="781"/>
      <c r="B340" s="782"/>
      <c r="C340" s="782"/>
      <c r="D340" s="1371"/>
      <c r="E340" s="782"/>
      <c r="F340" s="782"/>
      <c r="G340" s="1372"/>
      <c r="H340" s="782"/>
      <c r="I340" s="782"/>
      <c r="J340" s="782"/>
      <c r="K340" s="782"/>
      <c r="L340" s="782"/>
      <c r="M340" s="1372"/>
      <c r="N340" s="782"/>
      <c r="O340" s="782"/>
      <c r="P340" s="782"/>
      <c r="Q340" s="784"/>
    </row>
    <row r="341" spans="1:17" ht="16.350000000000001" customHeight="1" thickTop="1" x14ac:dyDescent="0.25">
      <c r="A341" s="780"/>
      <c r="B341" s="81"/>
      <c r="C341" s="77">
        <v>2019</v>
      </c>
      <c r="D341" s="87"/>
      <c r="E341" s="86"/>
      <c r="G341" s="59"/>
      <c r="H341" s="81"/>
      <c r="I341" s="77">
        <v>2019</v>
      </c>
      <c r="J341" s="28"/>
      <c r="K341" s="86"/>
      <c r="M341" s="59"/>
      <c r="N341" s="81"/>
      <c r="O341" s="77">
        <v>2019</v>
      </c>
      <c r="P341" s="28"/>
      <c r="Q341" s="1360"/>
    </row>
    <row r="342" spans="1:17" ht="16.350000000000001" customHeight="1" x14ac:dyDescent="0.2">
      <c r="A342" s="1361"/>
      <c r="B342" s="23" t="s">
        <v>850</v>
      </c>
      <c r="C342" s="23" t="s">
        <v>848</v>
      </c>
      <c r="D342" s="688" t="s">
        <v>106</v>
      </c>
      <c r="E342" s="100"/>
      <c r="F342" s="745"/>
      <c r="G342" s="120"/>
      <c r="H342" s="23" t="s">
        <v>850</v>
      </c>
      <c r="I342" s="23" t="s">
        <v>848</v>
      </c>
      <c r="J342" s="23" t="s">
        <v>106</v>
      </c>
      <c r="K342" s="100"/>
      <c r="M342" s="101"/>
      <c r="N342" s="23" t="s">
        <v>850</v>
      </c>
      <c r="O342" s="23" t="s">
        <v>848</v>
      </c>
      <c r="P342" s="23" t="s">
        <v>106</v>
      </c>
      <c r="Q342" s="1362"/>
    </row>
    <row r="343" spans="1:17" ht="16.350000000000001" customHeight="1" x14ac:dyDescent="0.2">
      <c r="A343" s="1363" t="s">
        <v>54</v>
      </c>
      <c r="B343" s="114">
        <v>14.3</v>
      </c>
      <c r="C343" s="83">
        <v>5337.36</v>
      </c>
      <c r="D343" s="84">
        <f t="shared" ref="D343:D354" si="60">C343/B343</f>
        <v>373.24195804195801</v>
      </c>
      <c r="E343" s="1259" t="s">
        <v>1029</v>
      </c>
      <c r="G343" s="63" t="s">
        <v>54</v>
      </c>
      <c r="H343" s="114">
        <v>48.2</v>
      </c>
      <c r="I343" s="83">
        <v>6397.25</v>
      </c>
      <c r="J343" s="375">
        <f t="shared" ref="J343:J354" si="61">I343/H343</f>
        <v>132.72302904564316</v>
      </c>
      <c r="K343" s="1259" t="s">
        <v>1265</v>
      </c>
      <c r="L343" s="803"/>
      <c r="M343" s="63" t="s">
        <v>54</v>
      </c>
      <c r="N343" s="114">
        <v>48</v>
      </c>
      <c r="O343" s="83">
        <v>12958.2</v>
      </c>
      <c r="P343" s="375">
        <f t="shared" ref="P343:P355" si="62">O343/N343</f>
        <v>269.96250000000003</v>
      </c>
      <c r="Q343" s="1364" t="s">
        <v>1271</v>
      </c>
    </row>
    <row r="344" spans="1:17" ht="16.350000000000001" customHeight="1" x14ac:dyDescent="0.2">
      <c r="A344" s="1363" t="s">
        <v>55</v>
      </c>
      <c r="B344" s="114">
        <v>13.2</v>
      </c>
      <c r="C344" s="80">
        <v>2337.84</v>
      </c>
      <c r="D344" s="84">
        <f t="shared" si="60"/>
        <v>177.10909090909092</v>
      </c>
      <c r="E344" s="1259" t="s">
        <v>1030</v>
      </c>
      <c r="G344" s="63" t="s">
        <v>55</v>
      </c>
      <c r="H344" s="114">
        <v>24.6</v>
      </c>
      <c r="I344" s="83">
        <v>3666.32</v>
      </c>
      <c r="J344" s="375">
        <f t="shared" si="61"/>
        <v>149.03739837398373</v>
      </c>
      <c r="K344" s="1261" t="s">
        <v>1195</v>
      </c>
      <c r="M344" s="63" t="s">
        <v>55</v>
      </c>
      <c r="N344" s="114">
        <v>30.5</v>
      </c>
      <c r="O344" s="83">
        <v>12501.78</v>
      </c>
      <c r="P344" s="375">
        <f t="shared" si="62"/>
        <v>409.89442622950821</v>
      </c>
      <c r="Q344" s="1365" t="s">
        <v>1100</v>
      </c>
    </row>
    <row r="345" spans="1:17" ht="16.350000000000001" customHeight="1" x14ac:dyDescent="0.2">
      <c r="A345" s="1363" t="s">
        <v>58</v>
      </c>
      <c r="B345" s="114">
        <v>15.3</v>
      </c>
      <c r="C345" s="83">
        <v>1761.76</v>
      </c>
      <c r="D345" s="84">
        <f t="shared" si="60"/>
        <v>115.14771241830064</v>
      </c>
      <c r="E345" s="1259" t="s">
        <v>1105</v>
      </c>
      <c r="G345" s="63" t="s">
        <v>58</v>
      </c>
      <c r="H345" s="91">
        <v>60.7</v>
      </c>
      <c r="I345" s="83">
        <v>3292.67</v>
      </c>
      <c r="J345" s="375">
        <f t="shared" si="61"/>
        <v>54.244975288303131</v>
      </c>
      <c r="K345" s="1262" t="s">
        <v>1239</v>
      </c>
      <c r="M345" s="63" t="s">
        <v>58</v>
      </c>
      <c r="N345" s="114">
        <v>49</v>
      </c>
      <c r="O345" s="83">
        <v>12629.67</v>
      </c>
      <c r="P345" s="375">
        <f t="shared" si="62"/>
        <v>257.74836734693878</v>
      </c>
      <c r="Q345" s="1366" t="s">
        <v>1273</v>
      </c>
    </row>
    <row r="346" spans="1:17" ht="16.350000000000001" customHeight="1" x14ac:dyDescent="0.2">
      <c r="A346" s="1363" t="s">
        <v>61</v>
      </c>
      <c r="B346" s="114">
        <v>59</v>
      </c>
      <c r="C346" s="83">
        <v>5252.67</v>
      </c>
      <c r="D346" s="84">
        <f t="shared" si="60"/>
        <v>89.028305084745767</v>
      </c>
      <c r="E346" s="1259" t="s">
        <v>1202</v>
      </c>
      <c r="G346" s="63" t="s">
        <v>61</v>
      </c>
      <c r="H346" s="91">
        <v>133.5</v>
      </c>
      <c r="I346" s="83">
        <v>3586.03</v>
      </c>
      <c r="J346" s="375">
        <f t="shared" si="61"/>
        <v>26.861647940074906</v>
      </c>
      <c r="K346" s="1262" t="s">
        <v>1241</v>
      </c>
      <c r="M346" s="63" t="s">
        <v>61</v>
      </c>
      <c r="N346" s="114">
        <v>77</v>
      </c>
      <c r="O346" s="83">
        <v>15829.08</v>
      </c>
      <c r="P346" s="375">
        <f t="shared" si="62"/>
        <v>205.57246753246753</v>
      </c>
      <c r="Q346" s="1366" t="s">
        <v>1274</v>
      </c>
    </row>
    <row r="347" spans="1:17" ht="16.350000000000001" customHeight="1" x14ac:dyDescent="0.2">
      <c r="A347" s="1363" t="s">
        <v>63</v>
      </c>
      <c r="B347" s="114">
        <v>41.5</v>
      </c>
      <c r="C347" s="83">
        <v>2815.64</v>
      </c>
      <c r="D347" s="84">
        <f t="shared" si="60"/>
        <v>67.846746987951803</v>
      </c>
      <c r="E347" s="1259" t="s">
        <v>1276</v>
      </c>
      <c r="G347" s="63" t="s">
        <v>63</v>
      </c>
      <c r="H347" s="91">
        <v>127.5</v>
      </c>
      <c r="I347" s="83">
        <v>6208.28</v>
      </c>
      <c r="J347" s="375">
        <f t="shared" si="61"/>
        <v>48.692392156862745</v>
      </c>
      <c r="K347" s="1262" t="s">
        <v>1202</v>
      </c>
      <c r="M347" s="63" t="s">
        <v>63</v>
      </c>
      <c r="N347" s="114">
        <v>69</v>
      </c>
      <c r="O347" s="83">
        <v>8923.42</v>
      </c>
      <c r="P347" s="375">
        <f t="shared" si="62"/>
        <v>129.32492753623188</v>
      </c>
      <c r="Q347" s="1365" t="s">
        <v>1109</v>
      </c>
    </row>
    <row r="348" spans="1:17" ht="16.350000000000001" customHeight="1" x14ac:dyDescent="0.2">
      <c r="A348" s="1363" t="s">
        <v>65</v>
      </c>
      <c r="B348" s="114">
        <v>47.6</v>
      </c>
      <c r="C348" s="83">
        <v>3514.26</v>
      </c>
      <c r="D348" s="84">
        <f t="shared" si="60"/>
        <v>73.828991596638659</v>
      </c>
      <c r="E348" s="1259" t="s">
        <v>1246</v>
      </c>
      <c r="G348" s="63" t="s">
        <v>65</v>
      </c>
      <c r="H348" s="114">
        <v>173.8</v>
      </c>
      <c r="I348" s="83">
        <v>6078.1</v>
      </c>
      <c r="J348" s="375">
        <f t="shared" si="61"/>
        <v>34.971806674338318</v>
      </c>
      <c r="K348" s="1262" t="s">
        <v>1275</v>
      </c>
      <c r="M348" s="63" t="s">
        <v>65</v>
      </c>
      <c r="N348" s="114"/>
      <c r="O348" s="80"/>
      <c r="P348" s="88" t="e">
        <f t="shared" si="62"/>
        <v>#DIV/0!</v>
      </c>
      <c r="Q348" s="1365"/>
    </row>
    <row r="349" spans="1:17" ht="16.350000000000001" customHeight="1" x14ac:dyDescent="0.2">
      <c r="A349" s="1363" t="s">
        <v>67</v>
      </c>
      <c r="B349" s="114">
        <v>68.5</v>
      </c>
      <c r="C349" s="83">
        <v>5266.01</v>
      </c>
      <c r="D349" s="84">
        <f t="shared" si="60"/>
        <v>76.87605839416058</v>
      </c>
      <c r="E349" s="1259" t="s">
        <v>1211</v>
      </c>
      <c r="G349" s="63" t="s">
        <v>67</v>
      </c>
      <c r="H349" s="118">
        <v>210.7</v>
      </c>
      <c r="I349" s="80">
        <v>10612.43</v>
      </c>
      <c r="J349" s="375">
        <f t="shared" si="61"/>
        <v>50.367489321309925</v>
      </c>
      <c r="K349" s="1262" t="s">
        <v>1113</v>
      </c>
      <c r="M349" s="63" t="s">
        <v>67</v>
      </c>
      <c r="N349" s="114"/>
      <c r="O349" s="80"/>
      <c r="P349" s="88" t="e">
        <f t="shared" si="62"/>
        <v>#DIV/0!</v>
      </c>
      <c r="Q349" s="1365"/>
    </row>
    <row r="350" spans="1:17" ht="16.350000000000001" customHeight="1" x14ac:dyDescent="0.2">
      <c r="A350" s="1363" t="s">
        <v>62</v>
      </c>
      <c r="B350" s="114">
        <v>85.9</v>
      </c>
      <c r="C350" s="83">
        <v>6016.13</v>
      </c>
      <c r="D350" s="84">
        <f t="shared" si="60"/>
        <v>70.036437718277057</v>
      </c>
      <c r="E350" s="1259" t="s">
        <v>1279</v>
      </c>
      <c r="G350" s="63" t="s">
        <v>62</v>
      </c>
      <c r="H350" s="118">
        <v>212.7</v>
      </c>
      <c r="I350" s="80">
        <v>11598.15</v>
      </c>
      <c r="J350" s="375">
        <f t="shared" si="61"/>
        <v>54.528208744710859</v>
      </c>
      <c r="K350" s="1261" t="s">
        <v>1211</v>
      </c>
      <c r="M350" s="459" t="s">
        <v>62</v>
      </c>
      <c r="N350" s="851"/>
      <c r="O350" s="852"/>
      <c r="P350" s="375" t="e">
        <f t="shared" si="62"/>
        <v>#DIV/0!</v>
      </c>
      <c r="Q350" s="1367"/>
    </row>
    <row r="351" spans="1:17" ht="16.350000000000001" customHeight="1" x14ac:dyDescent="0.2">
      <c r="A351" s="1363" t="s">
        <v>64</v>
      </c>
      <c r="B351" s="114">
        <v>60.3</v>
      </c>
      <c r="C351" s="80"/>
      <c r="D351" s="84">
        <f t="shared" si="60"/>
        <v>0</v>
      </c>
      <c r="E351" s="1259"/>
      <c r="G351" s="63" t="s">
        <v>64</v>
      </c>
      <c r="H351" s="118">
        <v>190.4</v>
      </c>
      <c r="I351" s="80">
        <v>12688.84</v>
      </c>
      <c r="J351" s="375">
        <f t="shared" si="61"/>
        <v>66.64306722689075</v>
      </c>
      <c r="K351" s="1261" t="s">
        <v>1278</v>
      </c>
      <c r="M351" s="63" t="s">
        <v>64</v>
      </c>
      <c r="N351" s="114"/>
      <c r="O351" s="83"/>
      <c r="P351" s="657" t="e">
        <f t="shared" si="62"/>
        <v>#DIV/0!</v>
      </c>
      <c r="Q351" s="1365"/>
    </row>
    <row r="352" spans="1:17" ht="16.350000000000001" customHeight="1" x14ac:dyDescent="0.2">
      <c r="A352" s="1363" t="s">
        <v>66</v>
      </c>
      <c r="B352" s="114"/>
      <c r="C352" s="80"/>
      <c r="D352" s="84" t="e">
        <f t="shared" si="60"/>
        <v>#DIV/0!</v>
      </c>
      <c r="E352" s="1259"/>
      <c r="G352" s="63" t="s">
        <v>66</v>
      </c>
      <c r="H352" s="114"/>
      <c r="I352" s="83"/>
      <c r="J352" s="375" t="e">
        <f t="shared" si="61"/>
        <v>#DIV/0!</v>
      </c>
      <c r="K352" s="1261"/>
      <c r="M352" s="63" t="s">
        <v>66</v>
      </c>
      <c r="N352" s="114"/>
      <c r="O352" s="80"/>
      <c r="P352" s="88" t="e">
        <f t="shared" si="62"/>
        <v>#DIV/0!</v>
      </c>
      <c r="Q352" s="1365"/>
    </row>
    <row r="353" spans="1:17" ht="16.350000000000001" customHeight="1" x14ac:dyDescent="0.2">
      <c r="A353" s="1363" t="s">
        <v>56</v>
      </c>
      <c r="B353" s="114"/>
      <c r="C353" s="83"/>
      <c r="D353" s="84" t="e">
        <f t="shared" si="60"/>
        <v>#DIV/0!</v>
      </c>
      <c r="E353" s="1259"/>
      <c r="G353" s="63" t="s">
        <v>56</v>
      </c>
      <c r="H353" s="114"/>
      <c r="I353" s="83"/>
      <c r="J353" s="375" t="e">
        <f t="shared" si="61"/>
        <v>#DIV/0!</v>
      </c>
      <c r="K353" s="1263"/>
      <c r="M353" s="63" t="s">
        <v>56</v>
      </c>
      <c r="N353" s="114"/>
      <c r="O353" s="80"/>
      <c r="P353" s="88" t="e">
        <f t="shared" si="62"/>
        <v>#DIV/0!</v>
      </c>
      <c r="Q353" s="1365"/>
    </row>
    <row r="354" spans="1:17" ht="16.350000000000001" customHeight="1" x14ac:dyDescent="0.2">
      <c r="A354" s="1368" t="s">
        <v>59</v>
      </c>
      <c r="B354" s="115"/>
      <c r="C354" s="795"/>
      <c r="D354" s="84" t="e">
        <f t="shared" si="60"/>
        <v>#DIV/0!</v>
      </c>
      <c r="E354" s="1260"/>
      <c r="F354" s="745"/>
      <c r="G354" s="102" t="s">
        <v>59</v>
      </c>
      <c r="H354" s="115"/>
      <c r="I354" s="131"/>
      <c r="J354" s="375" t="e">
        <f t="shared" si="61"/>
        <v>#DIV/0!</v>
      </c>
      <c r="K354" s="1264"/>
      <c r="M354" s="102" t="s">
        <v>59</v>
      </c>
      <c r="N354" s="115"/>
      <c r="O354" s="70"/>
      <c r="P354" s="72" t="e">
        <f t="shared" si="62"/>
        <v>#DIV/0!</v>
      </c>
      <c r="Q354" s="1369"/>
    </row>
    <row r="355" spans="1:17" ht="16.350000000000001" customHeight="1" x14ac:dyDescent="0.35">
      <c r="A355" s="1363" t="s">
        <v>30</v>
      </c>
      <c r="B355" s="134">
        <f>SUM(B343:B354)</f>
        <v>405.59999999999997</v>
      </c>
      <c r="C355" s="84">
        <f>SUM(C343:C354)</f>
        <v>32301.670000000002</v>
      </c>
      <c r="D355" s="84">
        <f>C355/SUM(B343:B354)</f>
        <v>79.639225838264309</v>
      </c>
      <c r="E355" s="550"/>
      <c r="G355" s="63" t="s">
        <v>30</v>
      </c>
      <c r="H355" s="84">
        <f>SUM(H343:H354)</f>
        <v>1182.1000000000001</v>
      </c>
      <c r="I355" s="84">
        <f>SUM(I343:I354)</f>
        <v>64128.070000000007</v>
      </c>
      <c r="J355" s="88">
        <f>I355/SUM(H343:H354)</f>
        <v>54.249276710938162</v>
      </c>
      <c r="K355" s="551"/>
      <c r="L355" s="803"/>
      <c r="M355" s="63" t="s">
        <v>30</v>
      </c>
      <c r="N355" s="84">
        <f>SUM(N343:N354)</f>
        <v>273.5</v>
      </c>
      <c r="O355" s="84">
        <f>SUM(O343:O354)</f>
        <v>62842.15</v>
      </c>
      <c r="P355" s="88">
        <f t="shared" si="62"/>
        <v>229.77020109689215</v>
      </c>
      <c r="Q355" s="1370"/>
    </row>
    <row r="356" spans="1:17" ht="16.350000000000001" customHeight="1" thickBot="1" x14ac:dyDescent="0.25">
      <c r="A356" s="781"/>
      <c r="B356" s="782"/>
      <c r="C356" s="782"/>
      <c r="D356" s="1371"/>
      <c r="E356" s="782"/>
      <c r="F356" s="782"/>
      <c r="G356" s="1372"/>
      <c r="H356" s="782"/>
      <c r="I356" s="782"/>
      <c r="J356" s="782"/>
      <c r="K356" s="782"/>
      <c r="L356" s="782"/>
      <c r="M356" s="1372"/>
      <c r="N356" s="782"/>
      <c r="O356" s="782"/>
      <c r="P356" s="782"/>
      <c r="Q356" s="784"/>
    </row>
    <row r="357" spans="1:17" ht="16.350000000000001" customHeight="1" thickTop="1" x14ac:dyDescent="0.2"/>
  </sheetData>
  <mergeCells count="6">
    <mergeCell ref="M1:Q1"/>
    <mergeCell ref="M2:Q2"/>
    <mergeCell ref="A1:E1"/>
    <mergeCell ref="A2:E2"/>
    <mergeCell ref="G2:K2"/>
    <mergeCell ref="G1:K1"/>
  </mergeCells>
  <phoneticPr fontId="68" type="noConversion"/>
  <printOptions horizontalCentered="1" verticalCentered="1"/>
  <pageMargins left="0.45" right="0.45" top="0.5" bottom="0.5" header="0.3" footer="0.3"/>
  <pageSetup scale="88" orientation="landscape" r:id="rId1"/>
  <headerFooter>
    <oddFooter>&amp;L&amp;"Arial,Regular"&amp;10MONTHLY PRODUCTION /&amp;F (SCE Charges).xls&amp;R&amp;"Arial,Regular"&amp;10&amp;D</oddFooter>
  </headerFooter>
  <rowBreaks count="3" manualBreakCount="3">
    <brk id="192" max="16383" man="1"/>
    <brk id="226" max="17" man="1"/>
    <brk id="25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Q90"/>
  <sheetViews>
    <sheetView zoomScale="70" zoomScaleNormal="70" workbookViewId="0">
      <selection activeCell="C16" sqref="C16"/>
    </sheetView>
  </sheetViews>
  <sheetFormatPr defaultColWidth="8.75" defaultRowHeight="15" x14ac:dyDescent="0.2"/>
  <cols>
    <col min="1" max="1" width="8.75" style="883"/>
    <col min="2" max="2" width="2.75" style="883" customWidth="1"/>
    <col min="3" max="3" width="8.75" style="883" customWidth="1"/>
    <col min="4" max="4" width="12.75" style="883" customWidth="1"/>
    <col min="5" max="5" width="2.75" style="883" customWidth="1"/>
    <col min="6" max="6" width="8.75" style="883" customWidth="1"/>
    <col min="7" max="7" width="12.75" style="883" customWidth="1"/>
    <col min="8" max="8" width="2.75" style="883" customWidth="1"/>
    <col min="9" max="9" width="8.75" style="883" customWidth="1"/>
    <col min="10" max="10" width="12.75" style="883" customWidth="1"/>
    <col min="11" max="11" width="2.75" style="883" customWidth="1"/>
    <col min="12" max="12" width="8.75" style="883" customWidth="1"/>
    <col min="13" max="13" width="12.75" style="883" customWidth="1"/>
    <col min="14" max="14" width="2.75" style="883" customWidth="1"/>
    <col min="15" max="15" width="8.75" style="883" customWidth="1"/>
    <col min="16" max="16" width="14.75" style="883" customWidth="1"/>
    <col min="17" max="17" width="10.75" style="883" bestFit="1" customWidth="1"/>
    <col min="18" max="16384" width="8.75" style="883"/>
  </cols>
  <sheetData>
    <row r="1" spans="1:17" ht="20.25" x14ac:dyDescent="0.3">
      <c r="A1" s="1382">
        <v>2019</v>
      </c>
      <c r="B1" s="1256"/>
      <c r="C1" s="1702" t="s">
        <v>33</v>
      </c>
      <c r="D1" s="1702"/>
      <c r="E1" s="1702"/>
      <c r="F1" s="1702"/>
      <c r="G1" s="1702"/>
      <c r="H1" s="1702"/>
      <c r="I1" s="1702"/>
      <c r="J1" s="1702"/>
      <c r="K1" s="1702"/>
      <c r="L1" s="1702"/>
      <c r="M1" s="1702"/>
      <c r="N1" s="1702"/>
      <c r="O1" s="1702"/>
      <c r="P1" s="1702"/>
      <c r="Q1" s="1703"/>
    </row>
    <row r="2" spans="1:17" ht="16.5" x14ac:dyDescent="0.25">
      <c r="A2" s="1400"/>
      <c r="B2" s="1255"/>
      <c r="C2" s="1255"/>
      <c r="D2" s="1255"/>
      <c r="E2" s="1255"/>
      <c r="F2" s="1255"/>
      <c r="G2" s="1255"/>
      <c r="H2" s="1255"/>
      <c r="I2" s="1255"/>
      <c r="J2" s="1255"/>
      <c r="K2" s="1384"/>
      <c r="L2" s="1384"/>
      <c r="M2" s="1384"/>
      <c r="N2" s="1255"/>
      <c r="O2" s="887"/>
      <c r="P2" s="887"/>
      <c r="Q2" s="1385"/>
    </row>
    <row r="3" spans="1:17" ht="16.5" x14ac:dyDescent="0.25">
      <c r="A3" s="1386"/>
      <c r="B3" s="1255"/>
      <c r="C3" s="1699" t="s">
        <v>912</v>
      </c>
      <c r="D3" s="1699"/>
      <c r="E3" s="1255"/>
      <c r="F3" s="1699" t="s">
        <v>1132</v>
      </c>
      <c r="G3" s="1699"/>
      <c r="H3" s="1255"/>
      <c r="I3" s="1515" t="s">
        <v>1215</v>
      </c>
      <c r="J3" s="1438"/>
      <c r="K3" s="1384"/>
      <c r="L3" s="1438"/>
      <c r="M3" s="1438"/>
      <c r="N3" s="887"/>
      <c r="O3" s="1700" t="s">
        <v>1007</v>
      </c>
      <c r="P3" s="1700"/>
      <c r="Q3" s="1701"/>
    </row>
    <row r="4" spans="1:17" ht="16.5" x14ac:dyDescent="0.25">
      <c r="A4" s="1386" t="s">
        <v>73</v>
      </c>
      <c r="B4" s="1255"/>
      <c r="C4" s="1438" t="s">
        <v>6</v>
      </c>
      <c r="D4" s="1438" t="s">
        <v>107</v>
      </c>
      <c r="E4" s="1255" t="s">
        <v>4</v>
      </c>
      <c r="F4" s="1438" t="s">
        <v>6</v>
      </c>
      <c r="G4" s="1438" t="s">
        <v>107</v>
      </c>
      <c r="H4" s="1255"/>
      <c r="I4" s="1438" t="s">
        <v>6</v>
      </c>
      <c r="J4" s="1438" t="s">
        <v>107</v>
      </c>
      <c r="K4" s="1384"/>
      <c r="L4" s="1438" t="s">
        <v>6</v>
      </c>
      <c r="M4" s="1438" t="s">
        <v>107</v>
      </c>
      <c r="N4" s="887"/>
      <c r="O4" s="1438" t="s">
        <v>6</v>
      </c>
      <c r="P4" s="1438" t="s">
        <v>107</v>
      </c>
      <c r="Q4" s="1387" t="s">
        <v>73</v>
      </c>
    </row>
    <row r="5" spans="1:17" ht="16.5" x14ac:dyDescent="0.25">
      <c r="A5" s="1388"/>
      <c r="B5" s="1384"/>
      <c r="C5" s="1384"/>
      <c r="D5" s="1384"/>
      <c r="E5" s="1384"/>
      <c r="F5" s="1384"/>
      <c r="G5" s="1384"/>
      <c r="H5" s="1384"/>
      <c r="I5" s="1384"/>
      <c r="J5" s="1384"/>
      <c r="K5" s="1384"/>
      <c r="L5" s="887"/>
      <c r="M5" s="887"/>
      <c r="N5" s="887"/>
      <c r="O5" s="1384"/>
      <c r="P5" s="1384"/>
      <c r="Q5" s="1389"/>
    </row>
    <row r="6" spans="1:17" ht="17.100000000000001" customHeight="1" x14ac:dyDescent="0.25">
      <c r="A6" s="1390" t="s">
        <v>108</v>
      </c>
      <c r="B6" s="1255"/>
      <c r="C6" s="1391"/>
      <c r="D6" s="1393">
        <f>C6*1375</f>
        <v>0</v>
      </c>
      <c r="E6" s="887"/>
      <c r="F6" s="1391"/>
      <c r="G6" s="1393">
        <f>F6*1375</f>
        <v>0</v>
      </c>
      <c r="H6" s="887"/>
      <c r="I6" s="1391"/>
      <c r="J6" s="1393"/>
      <c r="K6" s="887"/>
      <c r="L6" s="887"/>
      <c r="M6" s="887"/>
      <c r="N6" s="887"/>
      <c r="O6" s="1391">
        <f t="shared" ref="O6:O18" si="0">C6+F6+I6+L6</f>
        <v>0</v>
      </c>
      <c r="P6" s="1394">
        <f t="shared" ref="P6:P17" si="1">D6+G6+J6+M6</f>
        <v>0</v>
      </c>
      <c r="Q6" s="1395" t="s">
        <v>108</v>
      </c>
    </row>
    <row r="7" spans="1:17" ht="16.350000000000001" customHeight="1" x14ac:dyDescent="0.25">
      <c r="A7" s="1390" t="s">
        <v>109</v>
      </c>
      <c r="B7" s="1255"/>
      <c r="C7" s="1391"/>
      <c r="D7" s="1393">
        <f t="shared" ref="D7:D17" si="2">C7*1375</f>
        <v>0</v>
      </c>
      <c r="E7" s="887"/>
      <c r="F7" s="1391"/>
      <c r="G7" s="1393">
        <f t="shared" ref="G7:G17" si="3">F7*1375</f>
        <v>0</v>
      </c>
      <c r="H7" s="887"/>
      <c r="I7" s="1391"/>
      <c r="J7" s="1393"/>
      <c r="K7" s="887"/>
      <c r="L7" s="887"/>
      <c r="M7" s="887"/>
      <c r="N7" s="887"/>
      <c r="O7" s="1391">
        <f t="shared" si="0"/>
        <v>0</v>
      </c>
      <c r="P7" s="1394">
        <f t="shared" si="1"/>
        <v>0</v>
      </c>
      <c r="Q7" s="1395" t="s">
        <v>109</v>
      </c>
    </row>
    <row r="8" spans="1:17" ht="16.5" x14ac:dyDescent="0.25">
      <c r="A8" s="1390" t="s">
        <v>110</v>
      </c>
      <c r="B8" s="1255"/>
      <c r="C8" s="1391"/>
      <c r="D8" s="1393">
        <f t="shared" si="2"/>
        <v>0</v>
      </c>
      <c r="E8" s="887"/>
      <c r="F8" s="1391">
        <v>1.55</v>
      </c>
      <c r="G8" s="1393">
        <f t="shared" si="3"/>
        <v>2131.25</v>
      </c>
      <c r="H8" s="887"/>
      <c r="I8" s="1391"/>
      <c r="J8" s="1393"/>
      <c r="K8" s="887"/>
      <c r="L8" s="887"/>
      <c r="M8" s="887"/>
      <c r="N8" s="887"/>
      <c r="O8" s="1391">
        <f t="shared" si="0"/>
        <v>1.55</v>
      </c>
      <c r="P8" s="1394">
        <f t="shared" si="1"/>
        <v>2131.25</v>
      </c>
      <c r="Q8" s="1395" t="s">
        <v>110</v>
      </c>
    </row>
    <row r="9" spans="1:17" ht="16.5" x14ac:dyDescent="0.25">
      <c r="A9" s="1390" t="s">
        <v>111</v>
      </c>
      <c r="B9" s="1255"/>
      <c r="C9" s="1391">
        <v>0.49</v>
      </c>
      <c r="D9" s="1393">
        <f t="shared" si="2"/>
        <v>673.75</v>
      </c>
      <c r="E9" s="887"/>
      <c r="F9" s="1391">
        <v>4.6399999999999997</v>
      </c>
      <c r="G9" s="1393">
        <f t="shared" si="3"/>
        <v>6380</v>
      </c>
      <c r="H9" s="887"/>
      <c r="I9" s="887"/>
      <c r="J9" s="1393"/>
      <c r="K9" s="887"/>
      <c r="L9" s="887"/>
      <c r="M9" s="887"/>
      <c r="N9" s="887"/>
      <c r="O9" s="1391">
        <f t="shared" si="0"/>
        <v>5.13</v>
      </c>
      <c r="P9" s="1394">
        <f t="shared" si="1"/>
        <v>7053.75</v>
      </c>
      <c r="Q9" s="1395" t="s">
        <v>111</v>
      </c>
    </row>
    <row r="10" spans="1:17" ht="16.5" x14ac:dyDescent="0.25">
      <c r="A10" s="1390" t="s">
        <v>112</v>
      </c>
      <c r="B10" s="1255"/>
      <c r="C10" s="1391"/>
      <c r="D10" s="1393">
        <f t="shared" si="2"/>
        <v>0</v>
      </c>
      <c r="E10" s="887"/>
      <c r="F10" s="1391"/>
      <c r="G10" s="1393">
        <f t="shared" si="3"/>
        <v>0</v>
      </c>
      <c r="H10" s="887"/>
      <c r="I10" s="887"/>
      <c r="J10" s="1393"/>
      <c r="K10" s="887"/>
      <c r="L10" s="1391"/>
      <c r="M10" s="1392"/>
      <c r="N10" s="887">
        <v>60.2</v>
      </c>
      <c r="O10" s="1391">
        <f t="shared" si="0"/>
        <v>0</v>
      </c>
      <c r="P10" s="1394">
        <f t="shared" si="1"/>
        <v>0</v>
      </c>
      <c r="Q10" s="1395" t="s">
        <v>112</v>
      </c>
    </row>
    <row r="11" spans="1:17" ht="16.5" x14ac:dyDescent="0.25">
      <c r="A11" s="1390" t="s">
        <v>113</v>
      </c>
      <c r="B11" s="1255"/>
      <c r="C11" s="1391"/>
      <c r="D11" s="1393">
        <f t="shared" si="2"/>
        <v>0</v>
      </c>
      <c r="E11" s="887"/>
      <c r="F11" s="1391"/>
      <c r="G11" s="1393">
        <f t="shared" si="3"/>
        <v>0</v>
      </c>
      <c r="H11" s="887"/>
      <c r="I11" s="887"/>
      <c r="J11" s="1393"/>
      <c r="K11" s="887"/>
      <c r="L11" s="1391"/>
      <c r="M11" s="1392"/>
      <c r="N11" s="887"/>
      <c r="O11" s="1391">
        <f t="shared" si="0"/>
        <v>0</v>
      </c>
      <c r="P11" s="1394">
        <f t="shared" si="1"/>
        <v>0</v>
      </c>
      <c r="Q11" s="1395" t="s">
        <v>113</v>
      </c>
    </row>
    <row r="12" spans="1:17" ht="16.5" x14ac:dyDescent="0.25">
      <c r="A12" s="1390" t="s">
        <v>114</v>
      </c>
      <c r="B12" s="1255"/>
      <c r="C12" s="1391"/>
      <c r="D12" s="1393">
        <f t="shared" si="2"/>
        <v>0</v>
      </c>
      <c r="E12" s="887"/>
      <c r="F12" s="1391"/>
      <c r="G12" s="1393">
        <f t="shared" si="3"/>
        <v>0</v>
      </c>
      <c r="H12" s="887"/>
      <c r="I12" s="887"/>
      <c r="J12" s="1393"/>
      <c r="K12" s="887"/>
      <c r="L12" s="1391"/>
      <c r="M12" s="1392"/>
      <c r="N12" s="887"/>
      <c r="O12" s="1391">
        <f t="shared" si="0"/>
        <v>0</v>
      </c>
      <c r="P12" s="1394">
        <f t="shared" si="1"/>
        <v>0</v>
      </c>
      <c r="Q12" s="1395" t="s">
        <v>114</v>
      </c>
    </row>
    <row r="13" spans="1:17" ht="16.5" x14ac:dyDescent="0.25">
      <c r="A13" s="1390" t="s">
        <v>115</v>
      </c>
      <c r="B13" s="1255"/>
      <c r="C13" s="1391">
        <v>0.20699999999999999</v>
      </c>
      <c r="D13" s="1393">
        <f t="shared" si="2"/>
        <v>284.625</v>
      </c>
      <c r="E13" s="887"/>
      <c r="F13" s="1391"/>
      <c r="G13" s="1393">
        <f t="shared" si="3"/>
        <v>0</v>
      </c>
      <c r="H13" s="887"/>
      <c r="I13" s="887"/>
      <c r="J13" s="1393"/>
      <c r="K13" s="887"/>
      <c r="L13" s="887"/>
      <c r="M13" s="887"/>
      <c r="N13" s="887"/>
      <c r="O13" s="1391">
        <f t="shared" si="0"/>
        <v>0.20699999999999999</v>
      </c>
      <c r="P13" s="1394">
        <f t="shared" si="1"/>
        <v>284.625</v>
      </c>
      <c r="Q13" s="1395" t="s">
        <v>115</v>
      </c>
    </row>
    <row r="14" spans="1:17" ht="16.5" x14ac:dyDescent="0.25">
      <c r="A14" s="1390" t="s">
        <v>116</v>
      </c>
      <c r="B14" s="1255"/>
      <c r="C14" s="1391"/>
      <c r="D14" s="1393">
        <f t="shared" si="2"/>
        <v>0</v>
      </c>
      <c r="E14" s="887"/>
      <c r="F14" s="1391"/>
      <c r="G14" s="1393">
        <f t="shared" si="3"/>
        <v>0</v>
      </c>
      <c r="H14" s="887"/>
      <c r="I14" s="887"/>
      <c r="J14" s="1393">
        <f>I14*1375</f>
        <v>0</v>
      </c>
      <c r="K14" s="887"/>
      <c r="L14" s="887"/>
      <c r="M14" s="887"/>
      <c r="N14" s="887"/>
      <c r="O14" s="1391">
        <f t="shared" si="0"/>
        <v>0</v>
      </c>
      <c r="P14" s="1394">
        <f t="shared" si="1"/>
        <v>0</v>
      </c>
      <c r="Q14" s="1395" t="s">
        <v>116</v>
      </c>
    </row>
    <row r="15" spans="1:17" ht="16.5" x14ac:dyDescent="0.25">
      <c r="A15" s="1390" t="s">
        <v>117</v>
      </c>
      <c r="B15" s="1255"/>
      <c r="C15" s="1391"/>
      <c r="D15" s="1393">
        <f t="shared" si="2"/>
        <v>0</v>
      </c>
      <c r="E15" s="887"/>
      <c r="F15" s="1391"/>
      <c r="G15" s="1393">
        <f t="shared" si="3"/>
        <v>0</v>
      </c>
      <c r="H15" s="887"/>
      <c r="I15" s="887"/>
      <c r="J15" s="1393"/>
      <c r="K15" s="887"/>
      <c r="L15" s="887"/>
      <c r="M15" s="887"/>
      <c r="N15" s="887"/>
      <c r="O15" s="1391">
        <f t="shared" si="0"/>
        <v>0</v>
      </c>
      <c r="P15" s="1394">
        <f t="shared" si="1"/>
        <v>0</v>
      </c>
      <c r="Q15" s="1395" t="s">
        <v>117</v>
      </c>
    </row>
    <row r="16" spans="1:17" ht="16.5" x14ac:dyDescent="0.25">
      <c r="A16" s="1390" t="s">
        <v>118</v>
      </c>
      <c r="B16" s="1255"/>
      <c r="C16" s="1391"/>
      <c r="D16" s="1393">
        <f t="shared" si="2"/>
        <v>0</v>
      </c>
      <c r="E16" s="887"/>
      <c r="F16" s="1391"/>
      <c r="G16" s="1393">
        <f t="shared" si="3"/>
        <v>0</v>
      </c>
      <c r="H16" s="887"/>
      <c r="I16" s="887"/>
      <c r="J16" s="1393"/>
      <c r="K16" s="887"/>
      <c r="L16" s="887"/>
      <c r="M16" s="887"/>
      <c r="N16" s="887"/>
      <c r="O16" s="1391">
        <f t="shared" si="0"/>
        <v>0</v>
      </c>
      <c r="P16" s="1394">
        <f t="shared" si="1"/>
        <v>0</v>
      </c>
      <c r="Q16" s="1395" t="s">
        <v>118</v>
      </c>
    </row>
    <row r="17" spans="1:17" ht="16.5" x14ac:dyDescent="0.25">
      <c r="A17" s="1390" t="s">
        <v>119</v>
      </c>
      <c r="B17" s="1255"/>
      <c r="C17" s="1391"/>
      <c r="D17" s="1393">
        <f t="shared" si="2"/>
        <v>0</v>
      </c>
      <c r="E17" s="887"/>
      <c r="F17" s="1391"/>
      <c r="G17" s="1393">
        <f t="shared" si="3"/>
        <v>0</v>
      </c>
      <c r="H17" s="887"/>
      <c r="I17" s="887"/>
      <c r="J17" s="1393"/>
      <c r="K17" s="887"/>
      <c r="L17" s="887"/>
      <c r="M17" s="887"/>
      <c r="N17" s="887"/>
      <c r="O17" s="1391">
        <f t="shared" si="0"/>
        <v>0</v>
      </c>
      <c r="P17" s="1394">
        <f t="shared" si="1"/>
        <v>0</v>
      </c>
      <c r="Q17" s="1395" t="s">
        <v>119</v>
      </c>
    </row>
    <row r="18" spans="1:17" ht="16.5" x14ac:dyDescent="0.25">
      <c r="A18" s="1383"/>
      <c r="B18" s="1255"/>
      <c r="C18" s="887"/>
      <c r="D18" s="887">
        <f t="shared" ref="D18" si="4">C18*1257</f>
        <v>0</v>
      </c>
      <c r="E18" s="887"/>
      <c r="F18" s="887"/>
      <c r="G18" s="887"/>
      <c r="H18" s="887"/>
      <c r="I18" s="887"/>
      <c r="J18" s="887"/>
      <c r="K18" s="887"/>
      <c r="L18" s="887"/>
      <c r="M18" s="887"/>
      <c r="N18" s="887"/>
      <c r="O18" s="887">
        <f t="shared" si="0"/>
        <v>0</v>
      </c>
      <c r="P18" s="887"/>
      <c r="Q18" s="1399"/>
    </row>
    <row r="19" spans="1:17" ht="16.5" x14ac:dyDescent="0.25">
      <c r="A19" s="1383" t="s">
        <v>120</v>
      </c>
      <c r="B19" s="1255"/>
      <c r="C19" s="1391">
        <f>SUM(C6:C18)</f>
        <v>0.69699999999999995</v>
      </c>
      <c r="D19" s="1392">
        <f>SUM(D6:D18)</f>
        <v>958.375</v>
      </c>
      <c r="E19" s="887"/>
      <c r="F19" s="1391">
        <f>SUM(F6:F17)</f>
        <v>6.1899999999999995</v>
      </c>
      <c r="G19" s="1393">
        <f>SUM(G6:G17)</f>
        <v>8511.25</v>
      </c>
      <c r="H19" s="887"/>
      <c r="I19" s="1391">
        <f>SUM(I6:I17)</f>
        <v>0</v>
      </c>
      <c r="J19" s="1392">
        <f>SUM(J6:J17)</f>
        <v>0</v>
      </c>
      <c r="K19" s="887"/>
      <c r="L19" s="1391">
        <f>SUM(L6:L17)</f>
        <v>0</v>
      </c>
      <c r="M19" s="1435">
        <v>0</v>
      </c>
      <c r="N19" s="887"/>
      <c r="O19" s="1391">
        <f>C19+F19+I19+L19</f>
        <v>6.8869999999999996</v>
      </c>
      <c r="P19" s="1392">
        <f>D19+G19+J19+M19</f>
        <v>9469.625</v>
      </c>
      <c r="Q19" s="1399" t="s">
        <v>120</v>
      </c>
    </row>
    <row r="20" spans="1:17" x14ac:dyDescent="0.2">
      <c r="A20" s="1400"/>
      <c r="B20" s="887"/>
      <c r="C20" s="887"/>
      <c r="D20" s="887"/>
      <c r="E20" s="887"/>
      <c r="F20" s="887"/>
      <c r="G20" s="887"/>
      <c r="H20" s="887"/>
      <c r="I20" s="887"/>
      <c r="J20" s="887"/>
      <c r="K20" s="887"/>
      <c r="L20" s="887"/>
      <c r="M20" s="887"/>
      <c r="N20" s="887"/>
      <c r="O20" s="887"/>
      <c r="P20" s="887"/>
      <c r="Q20" s="1385"/>
    </row>
    <row r="21" spans="1:17" ht="15.75" x14ac:dyDescent="0.25">
      <c r="A21" s="1401" t="s">
        <v>1235</v>
      </c>
      <c r="B21" s="887"/>
      <c r="C21" s="1405"/>
      <c r="D21" s="1405"/>
      <c r="E21" s="887"/>
      <c r="F21" s="887" t="s">
        <v>1143</v>
      </c>
      <c r="G21" s="887"/>
      <c r="H21" s="887"/>
      <c r="I21" s="887"/>
      <c r="J21" s="887"/>
      <c r="K21" s="887"/>
      <c r="L21" s="887"/>
      <c r="M21" s="887"/>
      <c r="N21" s="887"/>
      <c r="O21" s="887"/>
      <c r="P21" s="887"/>
      <c r="Q21" s="1385"/>
    </row>
    <row r="22" spans="1:17" ht="16.5" thickBot="1" x14ac:dyDescent="0.3">
      <c r="A22" s="1406"/>
      <c r="B22" s="1403"/>
      <c r="C22" s="1407"/>
      <c r="D22" s="1407"/>
      <c r="E22" s="1403"/>
      <c r="F22" s="1403"/>
      <c r="G22" s="1403"/>
      <c r="H22" s="1403"/>
      <c r="I22" s="1403"/>
      <c r="J22" s="1403"/>
      <c r="K22" s="1403"/>
      <c r="L22" s="1403"/>
      <c r="M22" s="1403"/>
      <c r="N22" s="1403"/>
      <c r="O22" s="1403"/>
      <c r="P22" s="1403"/>
      <c r="Q22" s="1404"/>
    </row>
    <row r="23" spans="1:17" ht="20.25" x14ac:dyDescent="0.3">
      <c r="A23" s="1382">
        <v>2018</v>
      </c>
      <c r="B23" s="1256"/>
      <c r="C23" s="1702" t="s">
        <v>33</v>
      </c>
      <c r="D23" s="1702"/>
      <c r="E23" s="1702"/>
      <c r="F23" s="1702"/>
      <c r="G23" s="1702"/>
      <c r="H23" s="1702"/>
      <c r="I23" s="1702"/>
      <c r="J23" s="1702"/>
      <c r="K23" s="1702"/>
      <c r="L23" s="1702"/>
      <c r="M23" s="1702"/>
      <c r="N23" s="1702"/>
      <c r="O23" s="1702"/>
      <c r="P23" s="1702"/>
      <c r="Q23" s="1703"/>
    </row>
    <row r="24" spans="1:17" ht="16.5" x14ac:dyDescent="0.25">
      <c r="A24" s="1400"/>
      <c r="B24" s="1255"/>
      <c r="C24" s="1255"/>
      <c r="D24" s="1255"/>
      <c r="E24" s="1255"/>
      <c r="F24" s="1255"/>
      <c r="G24" s="1255"/>
      <c r="H24" s="1255"/>
      <c r="I24" s="1255"/>
      <c r="J24" s="1255"/>
      <c r="K24" s="1384"/>
      <c r="L24" s="1384"/>
      <c r="M24" s="1384"/>
      <c r="N24" s="1255"/>
      <c r="O24" s="887"/>
      <c r="P24" s="887"/>
      <c r="Q24" s="1385"/>
    </row>
    <row r="25" spans="1:17" ht="16.5" x14ac:dyDescent="0.25">
      <c r="A25" s="1386"/>
      <c r="B25" s="1255"/>
      <c r="C25" s="1699" t="s">
        <v>912</v>
      </c>
      <c r="D25" s="1699"/>
      <c r="E25" s="1255"/>
      <c r="F25" s="1699" t="s">
        <v>1132</v>
      </c>
      <c r="G25" s="1699"/>
      <c r="H25" s="1255"/>
      <c r="I25" s="1454" t="s">
        <v>1215</v>
      </c>
      <c r="J25" s="1438"/>
      <c r="K25" s="1384"/>
      <c r="L25" s="1438"/>
      <c r="M25" s="1438"/>
      <c r="N25" s="887"/>
      <c r="O25" s="1700" t="s">
        <v>1007</v>
      </c>
      <c r="P25" s="1700"/>
      <c r="Q25" s="1701"/>
    </row>
    <row r="26" spans="1:17" ht="16.5" x14ac:dyDescent="0.25">
      <c r="A26" s="1386" t="s">
        <v>73</v>
      </c>
      <c r="B26" s="1255"/>
      <c r="C26" s="1438" t="s">
        <v>6</v>
      </c>
      <c r="D26" s="1438" t="s">
        <v>107</v>
      </c>
      <c r="E26" s="1255" t="s">
        <v>4</v>
      </c>
      <c r="F26" s="1438" t="s">
        <v>6</v>
      </c>
      <c r="G26" s="1438" t="s">
        <v>107</v>
      </c>
      <c r="H26" s="1255"/>
      <c r="I26" s="1438" t="s">
        <v>6</v>
      </c>
      <c r="J26" s="1438" t="s">
        <v>107</v>
      </c>
      <c r="K26" s="1384"/>
      <c r="L26" s="1438" t="s">
        <v>6</v>
      </c>
      <c r="M26" s="1438" t="s">
        <v>107</v>
      </c>
      <c r="N26" s="887"/>
      <c r="O26" s="1438" t="s">
        <v>6</v>
      </c>
      <c r="P26" s="1438" t="s">
        <v>107</v>
      </c>
      <c r="Q26" s="1387" t="s">
        <v>73</v>
      </c>
    </row>
    <row r="27" spans="1:17" ht="16.5" x14ac:dyDescent="0.25">
      <c r="A27" s="1388"/>
      <c r="B27" s="1384"/>
      <c r="C27" s="1384"/>
      <c r="D27" s="1384"/>
      <c r="E27" s="1384"/>
      <c r="F27" s="1384"/>
      <c r="G27" s="1384"/>
      <c r="H27" s="1384"/>
      <c r="I27" s="1384"/>
      <c r="J27" s="1384"/>
      <c r="K27" s="1384"/>
      <c r="L27" s="887"/>
      <c r="M27" s="887"/>
      <c r="N27" s="887"/>
      <c r="O27" s="1384"/>
      <c r="P27" s="1384"/>
      <c r="Q27" s="1389"/>
    </row>
    <row r="28" spans="1:17" ht="17.100000000000001" customHeight="1" x14ac:dyDescent="0.25">
      <c r="A28" s="1390" t="s">
        <v>108</v>
      </c>
      <c r="B28" s="1255"/>
      <c r="C28" s="1391">
        <v>0.28000000000000003</v>
      </c>
      <c r="D28" s="1393">
        <f>C28*1375</f>
        <v>385.00000000000006</v>
      </c>
      <c r="E28" s="887"/>
      <c r="F28" s="1391"/>
      <c r="G28" s="1393">
        <f>F28*1375</f>
        <v>0</v>
      </c>
      <c r="H28" s="887"/>
      <c r="I28" s="1391"/>
      <c r="J28" s="1393"/>
      <c r="K28" s="887"/>
      <c r="L28" s="887"/>
      <c r="M28" s="887"/>
      <c r="N28" s="887"/>
      <c r="O28" s="1391">
        <f t="shared" ref="O28:O40" si="5">C28+F28+I28+L28</f>
        <v>0.28000000000000003</v>
      </c>
      <c r="P28" s="1394">
        <f t="shared" ref="P28:P39" si="6">D28+G28+J28+M28</f>
        <v>385.00000000000006</v>
      </c>
      <c r="Q28" s="1395" t="s">
        <v>108</v>
      </c>
    </row>
    <row r="29" spans="1:17" ht="16.350000000000001" customHeight="1" x14ac:dyDescent="0.25">
      <c r="A29" s="1390" t="s">
        <v>109</v>
      </c>
      <c r="B29" s="1255"/>
      <c r="C29" s="1391">
        <v>0.74</v>
      </c>
      <c r="D29" s="1393">
        <f t="shared" ref="D29:D39" si="7">C29*1375</f>
        <v>1017.5</v>
      </c>
      <c r="E29" s="887"/>
      <c r="F29" s="1391"/>
      <c r="G29" s="1393">
        <f t="shared" ref="G29:G39" si="8">F29*1375</f>
        <v>0</v>
      </c>
      <c r="H29" s="887"/>
      <c r="I29" s="1391"/>
      <c r="J29" s="1393"/>
      <c r="K29" s="887"/>
      <c r="L29" s="887"/>
      <c r="M29" s="887"/>
      <c r="N29" s="887"/>
      <c r="O29" s="1391">
        <f t="shared" si="5"/>
        <v>0.74</v>
      </c>
      <c r="P29" s="1394">
        <f t="shared" si="6"/>
        <v>1017.5</v>
      </c>
      <c r="Q29" s="1395" t="s">
        <v>109</v>
      </c>
    </row>
    <row r="30" spans="1:17" ht="16.5" x14ac:dyDescent="0.25">
      <c r="A30" s="1390" t="s">
        <v>110</v>
      </c>
      <c r="B30" s="1255"/>
      <c r="C30" s="1391"/>
      <c r="D30" s="1393">
        <f t="shared" si="7"/>
        <v>0</v>
      </c>
      <c r="E30" s="887"/>
      <c r="F30" s="1391"/>
      <c r="G30" s="1393">
        <f t="shared" si="8"/>
        <v>0</v>
      </c>
      <c r="H30" s="887"/>
      <c r="I30" s="1391"/>
      <c r="J30" s="1393"/>
      <c r="K30" s="887"/>
      <c r="L30" s="887"/>
      <c r="M30" s="887"/>
      <c r="N30" s="887"/>
      <c r="O30" s="1391">
        <f t="shared" si="5"/>
        <v>0</v>
      </c>
      <c r="P30" s="1394">
        <f t="shared" si="6"/>
        <v>0</v>
      </c>
      <c r="Q30" s="1395" t="s">
        <v>110</v>
      </c>
    </row>
    <row r="31" spans="1:17" ht="16.5" x14ac:dyDescent="0.25">
      <c r="A31" s="1390" t="s">
        <v>111</v>
      </c>
      <c r="B31" s="1255"/>
      <c r="C31" s="1391">
        <v>0.05</v>
      </c>
      <c r="D31" s="1393">
        <f t="shared" si="7"/>
        <v>68.75</v>
      </c>
      <c r="E31" s="887"/>
      <c r="F31" s="1391"/>
      <c r="G31" s="1393">
        <f t="shared" si="8"/>
        <v>0</v>
      </c>
      <c r="H31" s="887"/>
      <c r="I31" s="887"/>
      <c r="J31" s="1393"/>
      <c r="K31" s="887"/>
      <c r="L31" s="887"/>
      <c r="M31" s="887"/>
      <c r="N31" s="887"/>
      <c r="O31" s="1391">
        <f t="shared" si="5"/>
        <v>0.05</v>
      </c>
      <c r="P31" s="1394">
        <f t="shared" si="6"/>
        <v>68.75</v>
      </c>
      <c r="Q31" s="1395" t="s">
        <v>111</v>
      </c>
    </row>
    <row r="32" spans="1:17" ht="16.5" x14ac:dyDescent="0.25">
      <c r="A32" s="1390" t="s">
        <v>112</v>
      </c>
      <c r="B32" s="1255"/>
      <c r="C32" s="1391"/>
      <c r="D32" s="1393">
        <f t="shared" si="7"/>
        <v>0</v>
      </c>
      <c r="E32" s="887"/>
      <c r="F32" s="1391"/>
      <c r="G32" s="1393">
        <f t="shared" si="8"/>
        <v>0</v>
      </c>
      <c r="H32" s="887"/>
      <c r="I32" s="887"/>
      <c r="J32" s="1393"/>
      <c r="K32" s="887"/>
      <c r="L32" s="1391"/>
      <c r="M32" s="1392"/>
      <c r="N32" s="887">
        <v>60.2</v>
      </c>
      <c r="O32" s="1391">
        <f t="shared" si="5"/>
        <v>0</v>
      </c>
      <c r="P32" s="1394">
        <f t="shared" si="6"/>
        <v>0</v>
      </c>
      <c r="Q32" s="1395" t="s">
        <v>112</v>
      </c>
    </row>
    <row r="33" spans="1:17" ht="16.5" x14ac:dyDescent="0.25">
      <c r="A33" s="1390" t="s">
        <v>113</v>
      </c>
      <c r="B33" s="1255"/>
      <c r="C33" s="1391"/>
      <c r="D33" s="1393">
        <f t="shared" si="7"/>
        <v>0</v>
      </c>
      <c r="E33" s="887"/>
      <c r="F33" s="1391"/>
      <c r="G33" s="1393">
        <f t="shared" si="8"/>
        <v>0</v>
      </c>
      <c r="H33" s="887"/>
      <c r="I33" s="887"/>
      <c r="J33" s="1393"/>
      <c r="K33" s="887"/>
      <c r="L33" s="1391"/>
      <c r="M33" s="1392"/>
      <c r="N33" s="887"/>
      <c r="O33" s="1391">
        <f t="shared" si="5"/>
        <v>0</v>
      </c>
      <c r="P33" s="1394">
        <f t="shared" si="6"/>
        <v>0</v>
      </c>
      <c r="Q33" s="1395" t="s">
        <v>113</v>
      </c>
    </row>
    <row r="34" spans="1:17" ht="16.5" x14ac:dyDescent="0.25">
      <c r="A34" s="1390" t="s">
        <v>114</v>
      </c>
      <c r="B34" s="1255"/>
      <c r="C34" s="1391"/>
      <c r="D34" s="1393">
        <f t="shared" si="7"/>
        <v>0</v>
      </c>
      <c r="E34" s="887"/>
      <c r="F34" s="1391"/>
      <c r="G34" s="1393">
        <f t="shared" si="8"/>
        <v>0</v>
      </c>
      <c r="H34" s="887"/>
      <c r="I34" s="887"/>
      <c r="J34" s="1393"/>
      <c r="K34" s="887"/>
      <c r="L34" s="1391"/>
      <c r="M34" s="1392"/>
      <c r="N34" s="887"/>
      <c r="O34" s="1391">
        <f t="shared" si="5"/>
        <v>0</v>
      </c>
      <c r="P34" s="1394">
        <f t="shared" si="6"/>
        <v>0</v>
      </c>
      <c r="Q34" s="1395" t="s">
        <v>114</v>
      </c>
    </row>
    <row r="35" spans="1:17" ht="16.5" x14ac:dyDescent="0.25">
      <c r="A35" s="1390" t="s">
        <v>115</v>
      </c>
      <c r="B35" s="1255"/>
      <c r="C35" s="1391"/>
      <c r="D35" s="1393">
        <f t="shared" si="7"/>
        <v>0</v>
      </c>
      <c r="E35" s="887"/>
      <c r="F35" s="1391"/>
      <c r="G35" s="1393">
        <f t="shared" si="8"/>
        <v>0</v>
      </c>
      <c r="H35" s="887"/>
      <c r="I35" s="887"/>
      <c r="J35" s="1393"/>
      <c r="K35" s="887"/>
      <c r="L35" s="887"/>
      <c r="M35" s="887"/>
      <c r="N35" s="887"/>
      <c r="O35" s="1391">
        <f t="shared" si="5"/>
        <v>0</v>
      </c>
      <c r="P35" s="1394">
        <f t="shared" si="6"/>
        <v>0</v>
      </c>
      <c r="Q35" s="1395" t="s">
        <v>115</v>
      </c>
    </row>
    <row r="36" spans="1:17" ht="16.5" x14ac:dyDescent="0.25">
      <c r="A36" s="1390" t="s">
        <v>116</v>
      </c>
      <c r="B36" s="1255"/>
      <c r="C36" s="1391"/>
      <c r="D36" s="1393">
        <f t="shared" si="7"/>
        <v>0</v>
      </c>
      <c r="E36" s="887"/>
      <c r="F36" s="1391"/>
      <c r="G36" s="1393">
        <f t="shared" si="8"/>
        <v>0</v>
      </c>
      <c r="H36" s="887"/>
      <c r="I36" s="887"/>
      <c r="J36" s="1393">
        <f>I36*1375</f>
        <v>0</v>
      </c>
      <c r="K36" s="887"/>
      <c r="L36" s="887"/>
      <c r="M36" s="887"/>
      <c r="N36" s="887"/>
      <c r="O36" s="1391">
        <f t="shared" si="5"/>
        <v>0</v>
      </c>
      <c r="P36" s="1394">
        <f t="shared" si="6"/>
        <v>0</v>
      </c>
      <c r="Q36" s="1395" t="s">
        <v>116</v>
      </c>
    </row>
    <row r="37" spans="1:17" ht="16.5" x14ac:dyDescent="0.25">
      <c r="A37" s="1390" t="s">
        <v>117</v>
      </c>
      <c r="B37" s="1255"/>
      <c r="C37" s="1391">
        <v>0.13</v>
      </c>
      <c r="D37" s="1393">
        <f t="shared" si="7"/>
        <v>178.75</v>
      </c>
      <c r="E37" s="887"/>
      <c r="F37" s="1391"/>
      <c r="G37" s="1393">
        <f t="shared" si="8"/>
        <v>0</v>
      </c>
      <c r="H37" s="887"/>
      <c r="I37" s="887"/>
      <c r="J37" s="1393"/>
      <c r="K37" s="887"/>
      <c r="L37" s="887"/>
      <c r="M37" s="887"/>
      <c r="N37" s="887"/>
      <c r="O37" s="1391">
        <f t="shared" si="5"/>
        <v>0.13</v>
      </c>
      <c r="P37" s="1394">
        <f t="shared" si="6"/>
        <v>178.75</v>
      </c>
      <c r="Q37" s="1395" t="s">
        <v>117</v>
      </c>
    </row>
    <row r="38" spans="1:17" ht="16.5" x14ac:dyDescent="0.25">
      <c r="A38" s="1390" t="s">
        <v>118</v>
      </c>
      <c r="B38" s="1255"/>
      <c r="C38" s="1391"/>
      <c r="D38" s="1393">
        <f t="shared" si="7"/>
        <v>0</v>
      </c>
      <c r="E38" s="887"/>
      <c r="F38" s="1391"/>
      <c r="G38" s="1393">
        <f t="shared" si="8"/>
        <v>0</v>
      </c>
      <c r="H38" s="887"/>
      <c r="I38" s="887"/>
      <c r="J38" s="1393"/>
      <c r="K38" s="887"/>
      <c r="L38" s="887"/>
      <c r="M38" s="887"/>
      <c r="N38" s="887"/>
      <c r="O38" s="1391">
        <f t="shared" si="5"/>
        <v>0</v>
      </c>
      <c r="P38" s="1394">
        <f t="shared" si="6"/>
        <v>0</v>
      </c>
      <c r="Q38" s="1395" t="s">
        <v>118</v>
      </c>
    </row>
    <row r="39" spans="1:17" ht="16.5" x14ac:dyDescent="0.25">
      <c r="A39" s="1390" t="s">
        <v>119</v>
      </c>
      <c r="B39" s="1255"/>
      <c r="C39" s="1391"/>
      <c r="D39" s="1393">
        <f t="shared" si="7"/>
        <v>0</v>
      </c>
      <c r="E39" s="887"/>
      <c r="F39" s="1391"/>
      <c r="G39" s="1393">
        <f t="shared" si="8"/>
        <v>0</v>
      </c>
      <c r="H39" s="887"/>
      <c r="I39" s="887"/>
      <c r="J39" s="1393"/>
      <c r="K39" s="887"/>
      <c r="L39" s="887"/>
      <c r="M39" s="887"/>
      <c r="N39" s="887"/>
      <c r="O39" s="1391">
        <f t="shared" si="5"/>
        <v>0</v>
      </c>
      <c r="P39" s="1394">
        <f t="shared" si="6"/>
        <v>0</v>
      </c>
      <c r="Q39" s="1395" t="s">
        <v>119</v>
      </c>
    </row>
    <row r="40" spans="1:17" ht="16.5" x14ac:dyDescent="0.25">
      <c r="A40" s="1383"/>
      <c r="B40" s="1255"/>
      <c r="C40" s="887"/>
      <c r="D40" s="887">
        <f t="shared" ref="D40" si="9">C40*1257</f>
        <v>0</v>
      </c>
      <c r="E40" s="887"/>
      <c r="F40" s="887"/>
      <c r="G40" s="887"/>
      <c r="H40" s="887"/>
      <c r="I40" s="887"/>
      <c r="J40" s="887"/>
      <c r="K40" s="887"/>
      <c r="L40" s="887"/>
      <c r="M40" s="887"/>
      <c r="N40" s="887"/>
      <c r="O40" s="887">
        <f t="shared" si="5"/>
        <v>0</v>
      </c>
      <c r="P40" s="887"/>
      <c r="Q40" s="1399"/>
    </row>
    <row r="41" spans="1:17" ht="16.5" x14ac:dyDescent="0.25">
      <c r="A41" s="1383" t="s">
        <v>120</v>
      </c>
      <c r="B41" s="1255"/>
      <c r="C41" s="1391">
        <f>SUM(C28:C40)</f>
        <v>1.2000000000000002</v>
      </c>
      <c r="D41" s="1392">
        <f>SUM(D28:D40)</f>
        <v>1650</v>
      </c>
      <c r="E41" s="887"/>
      <c r="F41" s="1391">
        <f>SUM(F28:F39)</f>
        <v>0</v>
      </c>
      <c r="G41" s="1393">
        <f>SUM(G28:G39)</f>
        <v>0</v>
      </c>
      <c r="H41" s="887"/>
      <c r="I41" s="1391">
        <f>SUM(I28:I39)</f>
        <v>0</v>
      </c>
      <c r="J41" s="1392">
        <f>SUM(J28:J39)</f>
        <v>0</v>
      </c>
      <c r="K41" s="887"/>
      <c r="L41" s="1391">
        <f>SUM(L28:L39)</f>
        <v>0</v>
      </c>
      <c r="M41" s="1435">
        <v>0</v>
      </c>
      <c r="N41" s="887"/>
      <c r="O41" s="1391">
        <f>C41+F41+I41+L41</f>
        <v>1.2000000000000002</v>
      </c>
      <c r="P41" s="1392">
        <f>D41+G41+J41+M41</f>
        <v>1650</v>
      </c>
      <c r="Q41" s="1399" t="s">
        <v>120</v>
      </c>
    </row>
    <row r="42" spans="1:17" x14ac:dyDescent="0.2">
      <c r="A42" s="1400"/>
      <c r="B42" s="887"/>
      <c r="C42" s="887"/>
      <c r="D42" s="887"/>
      <c r="E42" s="887"/>
      <c r="F42" s="887"/>
      <c r="G42" s="887"/>
      <c r="H42" s="887"/>
      <c r="I42" s="887"/>
      <c r="J42" s="887"/>
      <c r="K42" s="887"/>
      <c r="L42" s="887"/>
      <c r="M42" s="887"/>
      <c r="N42" s="887"/>
      <c r="O42" s="887"/>
      <c r="P42" s="887"/>
      <c r="Q42" s="1385"/>
    </row>
    <row r="43" spans="1:17" ht="15.75" x14ac:dyDescent="0.25">
      <c r="A43" s="1401" t="s">
        <v>1235</v>
      </c>
      <c r="B43" s="887"/>
      <c r="C43" s="1405"/>
      <c r="D43" s="1405"/>
      <c r="E43" s="887"/>
      <c r="F43" s="887" t="s">
        <v>1143</v>
      </c>
      <c r="G43" s="887"/>
      <c r="H43" s="887"/>
      <c r="I43" s="887"/>
      <c r="J43" s="887"/>
      <c r="K43" s="887"/>
      <c r="L43" s="887"/>
      <c r="M43" s="887"/>
      <c r="N43" s="887"/>
      <c r="O43" s="887"/>
      <c r="P43" s="887"/>
      <c r="Q43" s="1385"/>
    </row>
    <row r="44" spans="1:17" ht="16.5" thickBot="1" x14ac:dyDescent="0.3">
      <c r="A44" s="1406"/>
      <c r="B44" s="1403"/>
      <c r="C44" s="1407"/>
      <c r="D44" s="1407"/>
      <c r="E44" s="1403"/>
      <c r="F44" s="1403"/>
      <c r="G44" s="1403"/>
      <c r="H44" s="1403"/>
      <c r="I44" s="1403"/>
      <c r="J44" s="1403"/>
      <c r="K44" s="1403"/>
      <c r="L44" s="1403"/>
      <c r="M44" s="1403"/>
      <c r="N44" s="1403"/>
      <c r="O44" s="1403"/>
      <c r="P44" s="1403"/>
      <c r="Q44" s="1404"/>
    </row>
    <row r="45" spans="1:17" ht="20.25" x14ac:dyDescent="0.3">
      <c r="A45" s="1382">
        <v>2019</v>
      </c>
      <c r="B45" s="1256"/>
      <c r="C45" s="1702" t="s">
        <v>101</v>
      </c>
      <c r="D45" s="1702"/>
      <c r="E45" s="1702"/>
      <c r="F45" s="1702"/>
      <c r="G45" s="1702"/>
      <c r="H45" s="1702"/>
      <c r="I45" s="1702"/>
      <c r="J45" s="1702"/>
      <c r="K45" s="1702"/>
      <c r="L45" s="1702"/>
      <c r="M45" s="1702"/>
      <c r="N45" s="1702"/>
      <c r="O45" s="1702"/>
      <c r="P45" s="1702"/>
      <c r="Q45" s="1703"/>
    </row>
    <row r="46" spans="1:17" ht="16.5" x14ac:dyDescent="0.25">
      <c r="A46" s="1383"/>
      <c r="B46" s="1255"/>
      <c r="C46" s="1255"/>
      <c r="D46" s="1255"/>
      <c r="E46" s="1255"/>
      <c r="F46" s="1255"/>
      <c r="G46" s="1255"/>
      <c r="H46" s="1255"/>
      <c r="I46" s="1255"/>
      <c r="J46" s="1255"/>
      <c r="K46" s="1384"/>
      <c r="L46" s="1384"/>
      <c r="M46" s="1384"/>
      <c r="N46" s="1255"/>
      <c r="O46" s="887"/>
      <c r="P46" s="887"/>
      <c r="Q46" s="1385"/>
    </row>
    <row r="47" spans="1:17" ht="16.5" x14ac:dyDescent="0.25">
      <c r="A47" s="1386"/>
      <c r="B47" s="1255"/>
      <c r="C47" s="1699" t="s">
        <v>913</v>
      </c>
      <c r="D47" s="1699"/>
      <c r="E47" s="1255"/>
      <c r="F47" s="1699" t="s">
        <v>989</v>
      </c>
      <c r="G47" s="1699"/>
      <c r="H47" s="1255"/>
      <c r="I47" s="1699" t="s">
        <v>997</v>
      </c>
      <c r="J47" s="1699"/>
      <c r="K47" s="1384"/>
      <c r="L47" s="1699" t="s">
        <v>1142</v>
      </c>
      <c r="M47" s="1699"/>
      <c r="N47" s="887"/>
      <c r="O47" s="1700" t="s">
        <v>1007</v>
      </c>
      <c r="P47" s="1700"/>
      <c r="Q47" s="1701"/>
    </row>
    <row r="48" spans="1:17" ht="16.5" customHeight="1" x14ac:dyDescent="0.25">
      <c r="A48" s="1386" t="s">
        <v>73</v>
      </c>
      <c r="B48" s="1255"/>
      <c r="C48" s="1438" t="s">
        <v>6</v>
      </c>
      <c r="D48" s="1438" t="s">
        <v>107</v>
      </c>
      <c r="E48" s="1255" t="s">
        <v>4</v>
      </c>
      <c r="F48" s="1438" t="s">
        <v>6</v>
      </c>
      <c r="G48" s="1438" t="s">
        <v>107</v>
      </c>
      <c r="H48" s="1255"/>
      <c r="I48" s="1438" t="s">
        <v>6</v>
      </c>
      <c r="J48" s="1438" t="s">
        <v>107</v>
      </c>
      <c r="K48" s="1384"/>
      <c r="L48" s="1438" t="s">
        <v>6</v>
      </c>
      <c r="M48" s="1438" t="s">
        <v>107</v>
      </c>
      <c r="N48" s="887"/>
      <c r="O48" s="1438" t="s">
        <v>6</v>
      </c>
      <c r="P48" s="1438" t="s">
        <v>107</v>
      </c>
      <c r="Q48" s="1387" t="s">
        <v>73</v>
      </c>
    </row>
    <row r="49" spans="1:17" ht="16.5" x14ac:dyDescent="0.25">
      <c r="A49" s="1388"/>
      <c r="B49" s="1384"/>
      <c r="C49" s="1384"/>
      <c r="D49" s="1384"/>
      <c r="E49" s="1384"/>
      <c r="F49" s="1384"/>
      <c r="G49" s="1384"/>
      <c r="H49" s="1384"/>
      <c r="I49" s="887"/>
      <c r="J49" s="887"/>
      <c r="K49" s="1384"/>
      <c r="L49" s="887"/>
      <c r="M49" s="887"/>
      <c r="N49" s="887"/>
      <c r="O49" s="1384"/>
      <c r="P49" s="1384"/>
      <c r="Q49" s="1389"/>
    </row>
    <row r="50" spans="1:17" ht="16.5" x14ac:dyDescent="0.25">
      <c r="A50" s="1390" t="s">
        <v>108</v>
      </c>
      <c r="B50" s="1255"/>
      <c r="C50" s="1391"/>
      <c r="D50" s="1392">
        <f>C50*1375</f>
        <v>0</v>
      </c>
      <c r="E50" s="887"/>
      <c r="F50" s="1391"/>
      <c r="G50" s="1393">
        <f>F50*1375</f>
        <v>0</v>
      </c>
      <c r="H50" s="887"/>
      <c r="I50" s="1391"/>
      <c r="J50" s="1392"/>
      <c r="K50" s="887"/>
      <c r="L50" s="1391"/>
      <c r="M50" s="1393"/>
      <c r="N50" s="887"/>
      <c r="O50" s="1391">
        <f t="shared" ref="O50:O53" si="10">C50+F50+I50+L50</f>
        <v>0</v>
      </c>
      <c r="P50" s="1394">
        <f t="shared" ref="P50:P53" si="11">D50+G50+J50+M50</f>
        <v>0</v>
      </c>
      <c r="Q50" s="1395" t="s">
        <v>108</v>
      </c>
    </row>
    <row r="51" spans="1:17" ht="16.5" x14ac:dyDescent="0.25">
      <c r="A51" s="1390" t="s">
        <v>109</v>
      </c>
      <c r="B51" s="1255"/>
      <c r="C51" s="1391"/>
      <c r="D51" s="1392">
        <f t="shared" ref="D51:D61" si="12">C51*1375</f>
        <v>0</v>
      </c>
      <c r="E51" s="887"/>
      <c r="F51" s="1391"/>
      <c r="G51" s="1393">
        <f t="shared" ref="G51:G61" si="13">F51*1375</f>
        <v>0</v>
      </c>
      <c r="H51" s="887"/>
      <c r="I51" s="1391"/>
      <c r="J51" s="1392"/>
      <c r="K51" s="887"/>
      <c r="L51" s="1391"/>
      <c r="M51" s="1393"/>
      <c r="N51" s="887"/>
      <c r="O51" s="1391">
        <f t="shared" si="10"/>
        <v>0</v>
      </c>
      <c r="P51" s="1394">
        <f t="shared" si="11"/>
        <v>0</v>
      </c>
      <c r="Q51" s="1395" t="s">
        <v>109</v>
      </c>
    </row>
    <row r="52" spans="1:17" ht="16.5" x14ac:dyDescent="0.25">
      <c r="A52" s="1390" t="s">
        <v>110</v>
      </c>
      <c r="B52" s="1255"/>
      <c r="C52" s="1391"/>
      <c r="D52" s="1392">
        <f t="shared" si="12"/>
        <v>0</v>
      </c>
      <c r="E52" s="887"/>
      <c r="F52" s="1391"/>
      <c r="G52" s="1393">
        <f t="shared" si="13"/>
        <v>0</v>
      </c>
      <c r="H52" s="887"/>
      <c r="I52" s="1391"/>
      <c r="J52" s="1392"/>
      <c r="K52" s="887"/>
      <c r="L52" s="1391"/>
      <c r="M52" s="1393"/>
      <c r="N52" s="887"/>
      <c r="O52" s="1391">
        <f t="shared" si="10"/>
        <v>0</v>
      </c>
      <c r="P52" s="1394">
        <f t="shared" si="11"/>
        <v>0</v>
      </c>
      <c r="Q52" s="1395" t="s">
        <v>110</v>
      </c>
    </row>
    <row r="53" spans="1:17" ht="16.5" x14ac:dyDescent="0.25">
      <c r="A53" s="1390" t="s">
        <v>111</v>
      </c>
      <c r="B53" s="1255"/>
      <c r="C53" s="1391"/>
      <c r="D53" s="1392">
        <f t="shared" si="12"/>
        <v>0</v>
      </c>
      <c r="E53" s="887"/>
      <c r="F53" s="1391"/>
      <c r="G53" s="1393">
        <f t="shared" si="13"/>
        <v>0</v>
      </c>
      <c r="H53" s="887"/>
      <c r="I53" s="1391"/>
      <c r="J53" s="1392"/>
      <c r="K53" s="887"/>
      <c r="L53" s="1391"/>
      <c r="M53" s="1393"/>
      <c r="N53" s="887"/>
      <c r="O53" s="1391">
        <f t="shared" si="10"/>
        <v>0</v>
      </c>
      <c r="P53" s="1394">
        <f t="shared" si="11"/>
        <v>0</v>
      </c>
      <c r="Q53" s="1395" t="s">
        <v>111</v>
      </c>
    </row>
    <row r="54" spans="1:17" ht="16.5" x14ac:dyDescent="0.25">
      <c r="A54" s="1390" t="s">
        <v>112</v>
      </c>
      <c r="B54" s="1255"/>
      <c r="C54" s="1391"/>
      <c r="D54" s="1392">
        <f t="shared" si="12"/>
        <v>0</v>
      </c>
      <c r="E54" s="887"/>
      <c r="F54" s="1391"/>
      <c r="G54" s="1393">
        <f t="shared" si="13"/>
        <v>0</v>
      </c>
      <c r="H54" s="887"/>
      <c r="I54" s="1384"/>
      <c r="J54" s="1396"/>
      <c r="K54" s="887"/>
      <c r="L54" s="1391"/>
      <c r="M54" s="1393"/>
      <c r="N54" s="887"/>
      <c r="O54" s="1391">
        <f>C54+F54+I54+L54</f>
        <v>0</v>
      </c>
      <c r="P54" s="1394">
        <f>D54+G54+J54+M54</f>
        <v>0</v>
      </c>
      <c r="Q54" s="1395" t="s">
        <v>112</v>
      </c>
    </row>
    <row r="55" spans="1:17" ht="16.5" x14ac:dyDescent="0.25">
      <c r="A55" s="1390" t="s">
        <v>113</v>
      </c>
      <c r="B55" s="1255"/>
      <c r="C55" s="1391"/>
      <c r="D55" s="1392">
        <f t="shared" si="12"/>
        <v>0</v>
      </c>
      <c r="E55" s="887"/>
      <c r="F55" s="1391"/>
      <c r="G55" s="1393">
        <f t="shared" si="13"/>
        <v>0</v>
      </c>
      <c r="H55" s="887"/>
      <c r="I55" s="1391"/>
      <c r="J55" s="1392"/>
      <c r="K55" s="887"/>
      <c r="L55" s="1391"/>
      <c r="M55" s="1393"/>
      <c r="N55" s="887"/>
      <c r="O55" s="1391">
        <f t="shared" ref="O55:O57" si="14">C55+F55+I55+L55</f>
        <v>0</v>
      </c>
      <c r="P55" s="1394">
        <f t="shared" ref="P55:P57" si="15">D55+G55+J55+M55</f>
        <v>0</v>
      </c>
      <c r="Q55" s="1395" t="s">
        <v>113</v>
      </c>
    </row>
    <row r="56" spans="1:17" ht="16.5" x14ac:dyDescent="0.25">
      <c r="A56" s="1390" t="s">
        <v>114</v>
      </c>
      <c r="B56" s="1255"/>
      <c r="C56" s="1391"/>
      <c r="D56" s="1392">
        <f t="shared" si="12"/>
        <v>0</v>
      </c>
      <c r="E56" s="887"/>
      <c r="F56" s="1391"/>
      <c r="G56" s="1393">
        <f t="shared" si="13"/>
        <v>0</v>
      </c>
      <c r="H56" s="887"/>
      <c r="I56" s="1391"/>
      <c r="J56" s="1392"/>
      <c r="K56" s="887"/>
      <c r="L56" s="1391"/>
      <c r="M56" s="1393"/>
      <c r="N56" s="887"/>
      <c r="O56" s="1391">
        <f t="shared" si="14"/>
        <v>0</v>
      </c>
      <c r="P56" s="1394">
        <f t="shared" si="15"/>
        <v>0</v>
      </c>
      <c r="Q56" s="1395" t="s">
        <v>114</v>
      </c>
    </row>
    <row r="57" spans="1:17" ht="16.5" x14ac:dyDescent="0.25">
      <c r="A57" s="1390" t="s">
        <v>115</v>
      </c>
      <c r="B57" s="1255"/>
      <c r="C57" s="1391">
        <v>0.08</v>
      </c>
      <c r="D57" s="1392">
        <f t="shared" si="12"/>
        <v>110</v>
      </c>
      <c r="E57" s="887"/>
      <c r="F57" s="1391"/>
      <c r="G57" s="1393">
        <f t="shared" si="13"/>
        <v>0</v>
      </c>
      <c r="H57" s="887"/>
      <c r="I57" s="1391"/>
      <c r="J57" s="1392"/>
      <c r="K57" s="887"/>
      <c r="L57" s="1391"/>
      <c r="M57" s="1393"/>
      <c r="N57" s="887"/>
      <c r="O57" s="1391">
        <f t="shared" si="14"/>
        <v>0.08</v>
      </c>
      <c r="P57" s="1394">
        <f t="shared" si="15"/>
        <v>110</v>
      </c>
      <c r="Q57" s="1395" t="s">
        <v>115</v>
      </c>
    </row>
    <row r="58" spans="1:17" ht="16.5" x14ac:dyDescent="0.25">
      <c r="A58" s="1390" t="s">
        <v>116</v>
      </c>
      <c r="B58" s="1255"/>
      <c r="C58" s="1391"/>
      <c r="D58" s="1392">
        <f t="shared" si="12"/>
        <v>0</v>
      </c>
      <c r="E58" s="887"/>
      <c r="F58" s="1391"/>
      <c r="G58" s="1393">
        <f t="shared" si="13"/>
        <v>0</v>
      </c>
      <c r="H58" s="887"/>
      <c r="I58" s="1391"/>
      <c r="J58" s="1393"/>
      <c r="K58" s="887"/>
      <c r="L58" s="1391"/>
      <c r="M58" s="1393"/>
      <c r="N58" s="887"/>
      <c r="O58" s="1391">
        <f>C58+F58+I58+L58</f>
        <v>0</v>
      </c>
      <c r="P58" s="1394">
        <f>D58+G58+J58+M58</f>
        <v>0</v>
      </c>
      <c r="Q58" s="1395" t="s">
        <v>116</v>
      </c>
    </row>
    <row r="59" spans="1:17" ht="16.5" x14ac:dyDescent="0.25">
      <c r="A59" s="1390" t="s">
        <v>117</v>
      </c>
      <c r="B59" s="1255"/>
      <c r="C59" s="1391"/>
      <c r="D59" s="1392">
        <f t="shared" si="12"/>
        <v>0</v>
      </c>
      <c r="E59" s="887"/>
      <c r="F59" s="1391"/>
      <c r="G59" s="1393">
        <f t="shared" si="13"/>
        <v>0</v>
      </c>
      <c r="H59" s="887"/>
      <c r="I59" s="1391"/>
      <c r="J59" s="1392"/>
      <c r="K59" s="887"/>
      <c r="L59" s="1391"/>
      <c r="M59" s="1393"/>
      <c r="N59" s="887"/>
      <c r="O59" s="1391">
        <f t="shared" ref="O59:O61" si="16">C59+F59+I59+L59</f>
        <v>0</v>
      </c>
      <c r="P59" s="1394">
        <f t="shared" ref="P59:P61" si="17">D59+G59+J59+M59</f>
        <v>0</v>
      </c>
      <c r="Q59" s="1395" t="s">
        <v>117</v>
      </c>
    </row>
    <row r="60" spans="1:17" ht="16.5" x14ac:dyDescent="0.25">
      <c r="A60" s="1390" t="s">
        <v>118</v>
      </c>
      <c r="B60" s="1255"/>
      <c r="C60" s="1391"/>
      <c r="D60" s="1392">
        <f t="shared" si="12"/>
        <v>0</v>
      </c>
      <c r="E60" s="887"/>
      <c r="F60" s="1391"/>
      <c r="G60" s="1393">
        <f t="shared" si="13"/>
        <v>0</v>
      </c>
      <c r="H60" s="887"/>
      <c r="I60" s="1391"/>
      <c r="J60" s="1393"/>
      <c r="K60" s="887"/>
      <c r="L60" s="1391"/>
      <c r="M60" s="1393"/>
      <c r="N60" s="887"/>
      <c r="O60" s="1391">
        <f t="shared" si="16"/>
        <v>0</v>
      </c>
      <c r="P60" s="1394">
        <f t="shared" si="17"/>
        <v>0</v>
      </c>
      <c r="Q60" s="1395" t="s">
        <v>118</v>
      </c>
    </row>
    <row r="61" spans="1:17" ht="16.5" x14ac:dyDescent="0.25">
      <c r="A61" s="1390" t="s">
        <v>119</v>
      </c>
      <c r="B61" s="1255"/>
      <c r="C61" s="1391"/>
      <c r="D61" s="1392">
        <f t="shared" si="12"/>
        <v>0</v>
      </c>
      <c r="E61" s="887"/>
      <c r="F61" s="1397"/>
      <c r="G61" s="1393">
        <f t="shared" si="13"/>
        <v>0</v>
      </c>
      <c r="H61" s="887"/>
      <c r="I61" s="1391"/>
      <c r="J61" s="1398"/>
      <c r="K61" s="887"/>
      <c r="L61" s="1391"/>
      <c r="M61" s="1393"/>
      <c r="N61" s="887"/>
      <c r="O61" s="1391">
        <f t="shared" si="16"/>
        <v>0</v>
      </c>
      <c r="P61" s="1394">
        <f t="shared" si="17"/>
        <v>0</v>
      </c>
      <c r="Q61" s="1395" t="s">
        <v>119</v>
      </c>
    </row>
    <row r="62" spans="1:17" ht="16.5" x14ac:dyDescent="0.25">
      <c r="A62" s="1383"/>
      <c r="B62" s="1255"/>
      <c r="C62" s="887"/>
      <c r="D62" s="887"/>
      <c r="E62" s="887"/>
      <c r="F62" s="887"/>
      <c r="G62" s="887"/>
      <c r="H62" s="887"/>
      <c r="I62" s="887"/>
      <c r="J62" s="887"/>
      <c r="K62" s="887"/>
      <c r="L62" s="1391"/>
      <c r="M62" s="1393"/>
      <c r="N62" s="887"/>
      <c r="O62" s="887"/>
      <c r="P62" s="887"/>
      <c r="Q62" s="1399"/>
    </row>
    <row r="63" spans="1:17" ht="16.5" x14ac:dyDescent="0.25">
      <c r="A63" s="1383" t="s">
        <v>120</v>
      </c>
      <c r="B63" s="1255"/>
      <c r="C63" s="1391">
        <f>SUM(C50:C61)</f>
        <v>0.08</v>
      </c>
      <c r="D63" s="1392">
        <f>SUM(D50:D61)</f>
        <v>110</v>
      </c>
      <c r="E63" s="887"/>
      <c r="F63" s="1391">
        <f>SUM(F50:F61)</f>
        <v>0</v>
      </c>
      <c r="G63" s="1393">
        <f>SUM(G50:G61)</f>
        <v>0</v>
      </c>
      <c r="H63" s="887"/>
      <c r="I63" s="1391">
        <f>SUM(I50:I61)</f>
        <v>0</v>
      </c>
      <c r="J63" s="1392">
        <f>SUM(J50:J61)</f>
        <v>0</v>
      </c>
      <c r="K63" s="887"/>
      <c r="L63" s="1391">
        <f>SUM(L50:L61)</f>
        <v>0</v>
      </c>
      <c r="M63" s="1392">
        <f>SUM(M50:M61)</f>
        <v>0</v>
      </c>
      <c r="N63" s="887"/>
      <c r="O63" s="1391">
        <f>C63+F63+I63+L63</f>
        <v>0.08</v>
      </c>
      <c r="P63" s="1392">
        <f>D63+G63+J63+M63</f>
        <v>110</v>
      </c>
      <c r="Q63" s="1399" t="s">
        <v>120</v>
      </c>
    </row>
    <row r="64" spans="1:17" x14ac:dyDescent="0.2">
      <c r="A64" s="1400"/>
      <c r="B64" s="887"/>
      <c r="C64" s="887"/>
      <c r="D64" s="887"/>
      <c r="E64" s="887"/>
      <c r="F64" s="887"/>
      <c r="G64" s="887"/>
      <c r="H64" s="887"/>
      <c r="I64" s="887"/>
      <c r="J64" s="887"/>
      <c r="K64" s="887"/>
      <c r="L64" s="887"/>
      <c r="M64" s="887"/>
      <c r="N64" s="887"/>
      <c r="O64" s="887"/>
      <c r="P64" s="887"/>
      <c r="Q64" s="1385"/>
    </row>
    <row r="65" spans="1:17" ht="15.75" x14ac:dyDescent="0.25">
      <c r="A65" s="1401" t="s">
        <v>1236</v>
      </c>
      <c r="B65" s="887"/>
      <c r="C65" s="887"/>
      <c r="D65" s="887"/>
      <c r="E65" s="887"/>
      <c r="F65" s="887"/>
      <c r="G65" s="887"/>
      <c r="H65" s="887"/>
      <c r="I65" s="887"/>
      <c r="J65" s="887"/>
      <c r="K65" s="887"/>
      <c r="L65" s="887"/>
      <c r="M65" s="887"/>
      <c r="N65" s="887"/>
      <c r="O65" s="887"/>
      <c r="P65" s="887"/>
      <c r="Q65" s="1385"/>
    </row>
    <row r="66" spans="1:17" ht="15.75" thickBot="1" x14ac:dyDescent="0.25">
      <c r="A66" s="1402"/>
      <c r="B66" s="1403"/>
      <c r="C66" s="1403"/>
      <c r="D66" s="1403"/>
      <c r="E66" s="1403"/>
      <c r="F66" s="1403"/>
      <c r="G66" s="1403"/>
      <c r="H66" s="1403"/>
      <c r="I66" s="1403"/>
      <c r="J66" s="1403"/>
      <c r="K66" s="1403"/>
      <c r="L66" s="1403"/>
      <c r="M66" s="1403"/>
      <c r="N66" s="1403"/>
      <c r="O66" s="1403"/>
      <c r="P66" s="1403"/>
      <c r="Q66" s="1404"/>
    </row>
    <row r="67" spans="1:17" ht="20.25" x14ac:dyDescent="0.3">
      <c r="A67" s="1382">
        <v>2018</v>
      </c>
      <c r="B67" s="1256"/>
      <c r="C67" s="1702" t="s">
        <v>101</v>
      </c>
      <c r="D67" s="1702"/>
      <c r="E67" s="1702"/>
      <c r="F67" s="1702"/>
      <c r="G67" s="1702"/>
      <c r="H67" s="1702"/>
      <c r="I67" s="1702"/>
      <c r="J67" s="1702"/>
      <c r="K67" s="1702"/>
      <c r="L67" s="1702"/>
      <c r="M67" s="1702"/>
      <c r="N67" s="1702"/>
      <c r="O67" s="1702"/>
      <c r="P67" s="1702"/>
      <c r="Q67" s="1703"/>
    </row>
    <row r="68" spans="1:17" ht="16.5" x14ac:dyDescent="0.25">
      <c r="A68" s="1383"/>
      <c r="B68" s="1255"/>
      <c r="C68" s="1255"/>
      <c r="D68" s="1255"/>
      <c r="E68" s="1255"/>
      <c r="F68" s="1255"/>
      <c r="G68" s="1255"/>
      <c r="H68" s="1255"/>
      <c r="I68" s="1255"/>
      <c r="J68" s="1255"/>
      <c r="K68" s="1384"/>
      <c r="L68" s="1384"/>
      <c r="M68" s="1384"/>
      <c r="N68" s="1255"/>
      <c r="O68" s="887"/>
      <c r="P68" s="887"/>
      <c r="Q68" s="1385"/>
    </row>
    <row r="69" spans="1:17" ht="16.5" x14ac:dyDescent="0.25">
      <c r="A69" s="1386"/>
      <c r="B69" s="1255"/>
      <c r="C69" s="1699" t="s">
        <v>913</v>
      </c>
      <c r="D69" s="1699"/>
      <c r="E69" s="1255"/>
      <c r="F69" s="1699" t="s">
        <v>989</v>
      </c>
      <c r="G69" s="1699"/>
      <c r="H69" s="1255"/>
      <c r="I69" s="1699" t="s">
        <v>997</v>
      </c>
      <c r="J69" s="1699"/>
      <c r="K69" s="1384"/>
      <c r="L69" s="1438"/>
      <c r="M69" s="1438"/>
      <c r="N69" s="887"/>
      <c r="O69" s="1700" t="s">
        <v>1007</v>
      </c>
      <c r="P69" s="1700"/>
      <c r="Q69" s="1701"/>
    </row>
    <row r="70" spans="1:17" ht="16.5" customHeight="1" x14ac:dyDescent="0.25">
      <c r="A70" s="1386" t="s">
        <v>73</v>
      </c>
      <c r="B70" s="1255"/>
      <c r="C70" s="1438" t="s">
        <v>6</v>
      </c>
      <c r="D70" s="1438" t="s">
        <v>107</v>
      </c>
      <c r="E70" s="1255" t="s">
        <v>4</v>
      </c>
      <c r="F70" s="1438" t="s">
        <v>6</v>
      </c>
      <c r="G70" s="1438" t="s">
        <v>107</v>
      </c>
      <c r="H70" s="1255"/>
      <c r="I70" s="1438" t="s">
        <v>6</v>
      </c>
      <c r="J70" s="1438" t="s">
        <v>107</v>
      </c>
      <c r="K70" s="1384"/>
      <c r="L70" s="1438" t="s">
        <v>6</v>
      </c>
      <c r="M70" s="1438" t="s">
        <v>107</v>
      </c>
      <c r="N70" s="887"/>
      <c r="O70" s="1438" t="s">
        <v>6</v>
      </c>
      <c r="P70" s="1438" t="s">
        <v>107</v>
      </c>
      <c r="Q70" s="1387" t="s">
        <v>73</v>
      </c>
    </row>
    <row r="71" spans="1:17" ht="16.5" x14ac:dyDescent="0.25">
      <c r="A71" s="1388"/>
      <c r="B71" s="1384"/>
      <c r="C71" s="1384"/>
      <c r="D71" s="1384"/>
      <c r="E71" s="1384"/>
      <c r="F71" s="1384"/>
      <c r="G71" s="1384"/>
      <c r="H71" s="1384"/>
      <c r="I71" s="887"/>
      <c r="J71" s="887"/>
      <c r="K71" s="1384"/>
      <c r="L71" s="887"/>
      <c r="M71" s="887"/>
      <c r="N71" s="887"/>
      <c r="O71" s="1384"/>
      <c r="P71" s="1384"/>
      <c r="Q71" s="1389"/>
    </row>
    <row r="72" spans="1:17" ht="16.5" x14ac:dyDescent="0.25">
      <c r="A72" s="1390" t="s">
        <v>108</v>
      </c>
      <c r="B72" s="1255"/>
      <c r="C72" s="1391"/>
      <c r="D72" s="1392">
        <f>C72*1375</f>
        <v>0</v>
      </c>
      <c r="E72" s="887"/>
      <c r="F72" s="1391">
        <v>0.12</v>
      </c>
      <c r="G72" s="1393">
        <f>F72*1375</f>
        <v>165</v>
      </c>
      <c r="H72" s="887"/>
      <c r="I72" s="1391"/>
      <c r="J72" s="1392"/>
      <c r="K72" s="887"/>
      <c r="L72" s="1391"/>
      <c r="M72" s="1393"/>
      <c r="N72" s="887"/>
      <c r="O72" s="1391">
        <f t="shared" ref="O72:O75" si="18">C72+F72+I72+L72</f>
        <v>0.12</v>
      </c>
      <c r="P72" s="1394">
        <f t="shared" ref="P72:P75" si="19">D72+G72+J72+M72</f>
        <v>165</v>
      </c>
      <c r="Q72" s="1395" t="s">
        <v>108</v>
      </c>
    </row>
    <row r="73" spans="1:17" ht="16.5" x14ac:dyDescent="0.25">
      <c r="A73" s="1390" t="s">
        <v>109</v>
      </c>
      <c r="B73" s="1255"/>
      <c r="C73" s="1391"/>
      <c r="D73" s="1392">
        <f t="shared" ref="D73:D83" si="20">C73*1375</f>
        <v>0</v>
      </c>
      <c r="E73" s="887"/>
      <c r="F73" s="1391">
        <v>0.66</v>
      </c>
      <c r="G73" s="1393">
        <f t="shared" ref="G73:G83" si="21">F73*1375</f>
        <v>907.5</v>
      </c>
      <c r="H73" s="887"/>
      <c r="I73" s="1391"/>
      <c r="J73" s="1392"/>
      <c r="K73" s="887"/>
      <c r="L73" s="1391"/>
      <c r="M73" s="1393"/>
      <c r="N73" s="887"/>
      <c r="O73" s="1391">
        <f t="shared" si="18"/>
        <v>0.66</v>
      </c>
      <c r="P73" s="1394">
        <f t="shared" si="19"/>
        <v>907.5</v>
      </c>
      <c r="Q73" s="1395" t="s">
        <v>109</v>
      </c>
    </row>
    <row r="74" spans="1:17" ht="16.5" x14ac:dyDescent="0.25">
      <c r="A74" s="1390" t="s">
        <v>110</v>
      </c>
      <c r="B74" s="1255"/>
      <c r="C74" s="1391"/>
      <c r="D74" s="1392">
        <f t="shared" si="20"/>
        <v>0</v>
      </c>
      <c r="E74" s="887"/>
      <c r="F74" s="1391">
        <v>0.24</v>
      </c>
      <c r="G74" s="1393">
        <f t="shared" si="21"/>
        <v>330</v>
      </c>
      <c r="H74" s="887"/>
      <c r="I74" s="1391"/>
      <c r="J74" s="1392"/>
      <c r="K74" s="887"/>
      <c r="L74" s="1391"/>
      <c r="M74" s="1393"/>
      <c r="N74" s="887"/>
      <c r="O74" s="1391">
        <f t="shared" si="18"/>
        <v>0.24</v>
      </c>
      <c r="P74" s="1394">
        <f t="shared" si="19"/>
        <v>330</v>
      </c>
      <c r="Q74" s="1395" t="s">
        <v>110</v>
      </c>
    </row>
    <row r="75" spans="1:17" ht="16.5" x14ac:dyDescent="0.25">
      <c r="A75" s="1390" t="s">
        <v>111</v>
      </c>
      <c r="B75" s="1255"/>
      <c r="C75" s="1391"/>
      <c r="D75" s="1392">
        <f t="shared" si="20"/>
        <v>0</v>
      </c>
      <c r="E75" s="887"/>
      <c r="F75" s="1391">
        <v>0.95</v>
      </c>
      <c r="G75" s="1393">
        <f t="shared" si="21"/>
        <v>1306.25</v>
      </c>
      <c r="H75" s="887"/>
      <c r="I75" s="1391"/>
      <c r="J75" s="1392"/>
      <c r="K75" s="887"/>
      <c r="L75" s="1391"/>
      <c r="M75" s="1393"/>
      <c r="N75" s="887"/>
      <c r="O75" s="1391">
        <f t="shared" si="18"/>
        <v>0.95</v>
      </c>
      <c r="P75" s="1394">
        <f t="shared" si="19"/>
        <v>1306.25</v>
      </c>
      <c r="Q75" s="1395" t="s">
        <v>111</v>
      </c>
    </row>
    <row r="76" spans="1:17" ht="16.5" x14ac:dyDescent="0.25">
      <c r="A76" s="1390" t="s">
        <v>112</v>
      </c>
      <c r="B76" s="1255"/>
      <c r="C76" s="1391"/>
      <c r="D76" s="1392">
        <f t="shared" si="20"/>
        <v>0</v>
      </c>
      <c r="E76" s="887"/>
      <c r="F76" s="1391"/>
      <c r="G76" s="1393">
        <f t="shared" si="21"/>
        <v>0</v>
      </c>
      <c r="H76" s="887"/>
      <c r="I76" s="1384"/>
      <c r="J76" s="1396"/>
      <c r="K76" s="887"/>
      <c r="L76" s="1391"/>
      <c r="M76" s="1393"/>
      <c r="N76" s="887"/>
      <c r="O76" s="1391">
        <f>C76+F76+I76+L76</f>
        <v>0</v>
      </c>
      <c r="P76" s="1394">
        <f>D76+G76+J76+M76</f>
        <v>0</v>
      </c>
      <c r="Q76" s="1395" t="s">
        <v>112</v>
      </c>
    </row>
    <row r="77" spans="1:17" ht="16.5" x14ac:dyDescent="0.25">
      <c r="A77" s="1390" t="s">
        <v>113</v>
      </c>
      <c r="B77" s="1255"/>
      <c r="C77" s="1391"/>
      <c r="D77" s="1392">
        <f t="shared" si="20"/>
        <v>0</v>
      </c>
      <c r="E77" s="887"/>
      <c r="F77" s="1391">
        <v>0.35</v>
      </c>
      <c r="G77" s="1393">
        <f t="shared" si="21"/>
        <v>481.24999999999994</v>
      </c>
      <c r="H77" s="887"/>
      <c r="I77" s="1391"/>
      <c r="J77" s="1392"/>
      <c r="K77" s="887"/>
      <c r="L77" s="1391"/>
      <c r="M77" s="1393"/>
      <c r="N77" s="887"/>
      <c r="O77" s="1391">
        <f t="shared" ref="O77:O79" si="22">C77+F77+I77+L77</f>
        <v>0.35</v>
      </c>
      <c r="P77" s="1394">
        <f t="shared" ref="P77:P79" si="23">D77+G77+J77+M77</f>
        <v>481.24999999999994</v>
      </c>
      <c r="Q77" s="1395" t="s">
        <v>113</v>
      </c>
    </row>
    <row r="78" spans="1:17" ht="16.5" x14ac:dyDescent="0.25">
      <c r="A78" s="1390" t="s">
        <v>114</v>
      </c>
      <c r="B78" s="1255"/>
      <c r="C78" s="1391"/>
      <c r="D78" s="1392">
        <f t="shared" si="20"/>
        <v>0</v>
      </c>
      <c r="E78" s="887"/>
      <c r="F78" s="1391"/>
      <c r="G78" s="1393">
        <f t="shared" si="21"/>
        <v>0</v>
      </c>
      <c r="H78" s="887"/>
      <c r="I78" s="1391"/>
      <c r="J78" s="1392"/>
      <c r="K78" s="887"/>
      <c r="L78" s="1391">
        <v>0.08</v>
      </c>
      <c r="M78" s="1393">
        <f t="shared" ref="M78" si="24">L78*1375</f>
        <v>110</v>
      </c>
      <c r="N78" s="887"/>
      <c r="O78" s="1391">
        <f t="shared" si="22"/>
        <v>0.08</v>
      </c>
      <c r="P78" s="1394">
        <f t="shared" si="23"/>
        <v>110</v>
      </c>
      <c r="Q78" s="1395" t="s">
        <v>114</v>
      </c>
    </row>
    <row r="79" spans="1:17" ht="16.5" x14ac:dyDescent="0.25">
      <c r="A79" s="1390" t="s">
        <v>115</v>
      </c>
      <c r="B79" s="1255"/>
      <c r="C79" s="1391"/>
      <c r="D79" s="1392">
        <f t="shared" si="20"/>
        <v>0</v>
      </c>
      <c r="E79" s="887"/>
      <c r="F79" s="1391"/>
      <c r="G79" s="1393">
        <f t="shared" si="21"/>
        <v>0</v>
      </c>
      <c r="H79" s="887"/>
      <c r="I79" s="1391"/>
      <c r="J79" s="1392"/>
      <c r="K79" s="887"/>
      <c r="L79" s="1391"/>
      <c r="M79" s="1393"/>
      <c r="N79" s="887"/>
      <c r="O79" s="1391">
        <f t="shared" si="22"/>
        <v>0</v>
      </c>
      <c r="P79" s="1394">
        <f t="shared" si="23"/>
        <v>0</v>
      </c>
      <c r="Q79" s="1395" t="s">
        <v>115</v>
      </c>
    </row>
    <row r="80" spans="1:17" ht="16.5" x14ac:dyDescent="0.25">
      <c r="A80" s="1390" t="s">
        <v>116</v>
      </c>
      <c r="B80" s="1255"/>
      <c r="C80" s="1391"/>
      <c r="D80" s="1392">
        <f t="shared" si="20"/>
        <v>0</v>
      </c>
      <c r="E80" s="887"/>
      <c r="F80" s="1391"/>
      <c r="G80" s="1393">
        <f t="shared" si="21"/>
        <v>0</v>
      </c>
      <c r="H80" s="887"/>
      <c r="I80" s="1391"/>
      <c r="J80" s="1393"/>
      <c r="K80" s="887"/>
      <c r="L80" s="1391"/>
      <c r="M80" s="1393"/>
      <c r="N80" s="887"/>
      <c r="O80" s="1391">
        <f>C80+F80+I80+L80</f>
        <v>0</v>
      </c>
      <c r="P80" s="1394">
        <f>D80+G80+J80+M80</f>
        <v>0</v>
      </c>
      <c r="Q80" s="1395" t="s">
        <v>116</v>
      </c>
    </row>
    <row r="81" spans="1:17" ht="16.5" x14ac:dyDescent="0.25">
      <c r="A81" s="1390" t="s">
        <v>117</v>
      </c>
      <c r="B81" s="1255"/>
      <c r="C81" s="1391"/>
      <c r="D81" s="1392">
        <f t="shared" si="20"/>
        <v>0</v>
      </c>
      <c r="E81" s="887"/>
      <c r="F81" s="1391"/>
      <c r="G81" s="1393">
        <f t="shared" si="21"/>
        <v>0</v>
      </c>
      <c r="H81" s="887"/>
      <c r="I81" s="1391"/>
      <c r="J81" s="1392"/>
      <c r="K81" s="887"/>
      <c r="L81" s="1391"/>
      <c r="M81" s="1393"/>
      <c r="N81" s="887"/>
      <c r="O81" s="1391">
        <f t="shared" ref="O81:O83" si="25">C81+F81+I81+L81</f>
        <v>0</v>
      </c>
      <c r="P81" s="1394">
        <f t="shared" ref="P81:P83" si="26">D81+G81+J81+M81</f>
        <v>0</v>
      </c>
      <c r="Q81" s="1395" t="s">
        <v>117</v>
      </c>
    </row>
    <row r="82" spans="1:17" ht="16.5" x14ac:dyDescent="0.25">
      <c r="A82" s="1390" t="s">
        <v>118</v>
      </c>
      <c r="B82" s="1255"/>
      <c r="C82" s="1391"/>
      <c r="D82" s="1392">
        <f t="shared" si="20"/>
        <v>0</v>
      </c>
      <c r="E82" s="887"/>
      <c r="F82" s="1391"/>
      <c r="G82" s="1393">
        <f t="shared" si="21"/>
        <v>0</v>
      </c>
      <c r="H82" s="887"/>
      <c r="I82" s="1391"/>
      <c r="J82" s="1393"/>
      <c r="K82" s="887"/>
      <c r="L82" s="1391"/>
      <c r="M82" s="1393"/>
      <c r="N82" s="887"/>
      <c r="O82" s="1391">
        <f t="shared" si="25"/>
        <v>0</v>
      </c>
      <c r="P82" s="1394">
        <f t="shared" si="26"/>
        <v>0</v>
      </c>
      <c r="Q82" s="1395" t="s">
        <v>118</v>
      </c>
    </row>
    <row r="83" spans="1:17" ht="16.5" x14ac:dyDescent="0.25">
      <c r="A83" s="1390" t="s">
        <v>119</v>
      </c>
      <c r="B83" s="1255"/>
      <c r="C83" s="1391"/>
      <c r="D83" s="1392">
        <f t="shared" si="20"/>
        <v>0</v>
      </c>
      <c r="E83" s="887"/>
      <c r="F83" s="1397"/>
      <c r="G83" s="1393">
        <f t="shared" si="21"/>
        <v>0</v>
      </c>
      <c r="H83" s="887"/>
      <c r="I83" s="1391"/>
      <c r="J83" s="1398"/>
      <c r="K83" s="887"/>
      <c r="L83" s="1391"/>
      <c r="M83" s="1393"/>
      <c r="N83" s="887"/>
      <c r="O83" s="1391">
        <f t="shared" si="25"/>
        <v>0</v>
      </c>
      <c r="P83" s="1394">
        <f t="shared" si="26"/>
        <v>0</v>
      </c>
      <c r="Q83" s="1395" t="s">
        <v>119</v>
      </c>
    </row>
    <row r="84" spans="1:17" ht="16.5" x14ac:dyDescent="0.25">
      <c r="A84" s="1383"/>
      <c r="B84" s="1255"/>
      <c r="C84" s="887"/>
      <c r="D84" s="887"/>
      <c r="E84" s="887"/>
      <c r="F84" s="887"/>
      <c r="G84" s="887"/>
      <c r="H84" s="887"/>
      <c r="I84" s="887"/>
      <c r="J84" s="887"/>
      <c r="K84" s="887"/>
      <c r="L84" s="1391"/>
      <c r="M84" s="1393"/>
      <c r="N84" s="887"/>
      <c r="O84" s="887"/>
      <c r="P84" s="887"/>
      <c r="Q84" s="1399"/>
    </row>
    <row r="85" spans="1:17" ht="16.5" x14ac:dyDescent="0.25">
      <c r="A85" s="1383" t="s">
        <v>120</v>
      </c>
      <c r="B85" s="1255"/>
      <c r="C85" s="1391">
        <f>SUM(C72:C83)</f>
        <v>0</v>
      </c>
      <c r="D85" s="1392">
        <f>SUM(D72:D83)</f>
        <v>0</v>
      </c>
      <c r="E85" s="887"/>
      <c r="F85" s="1391">
        <f>SUM(F72:F83)</f>
        <v>2.3199999999999998</v>
      </c>
      <c r="G85" s="1393">
        <f>SUM(G72:G83)</f>
        <v>3190</v>
      </c>
      <c r="H85" s="887"/>
      <c r="I85" s="1391">
        <f>SUM(I72:I83)</f>
        <v>0</v>
      </c>
      <c r="J85" s="1392">
        <f>SUM(J72:J83)</f>
        <v>0</v>
      </c>
      <c r="K85" s="887"/>
      <c r="L85" s="1391">
        <f>SUM(L72:L83)</f>
        <v>0.08</v>
      </c>
      <c r="M85" s="1392">
        <f>SUM(M72:M83)</f>
        <v>110</v>
      </c>
      <c r="N85" s="887"/>
      <c r="O85" s="1391">
        <f>C85+F85+I85+L85</f>
        <v>2.4</v>
      </c>
      <c r="P85" s="1392">
        <f>D85+G85+J85+M85</f>
        <v>3300</v>
      </c>
      <c r="Q85" s="1399" t="s">
        <v>120</v>
      </c>
    </row>
    <row r="86" spans="1:17" x14ac:dyDescent="0.2">
      <c r="A86" s="1400"/>
      <c r="B86" s="887"/>
      <c r="C86" s="887"/>
      <c r="D86" s="887"/>
      <c r="E86" s="887"/>
      <c r="F86" s="887"/>
      <c r="G86" s="887"/>
      <c r="H86" s="887"/>
      <c r="I86" s="887"/>
      <c r="J86" s="887"/>
      <c r="K86" s="887"/>
      <c r="L86" s="887"/>
      <c r="M86" s="887"/>
      <c r="N86" s="887"/>
      <c r="O86" s="887"/>
      <c r="P86" s="887"/>
      <c r="Q86" s="1385"/>
    </row>
    <row r="87" spans="1:17" ht="15.75" x14ac:dyDescent="0.25">
      <c r="A87" s="1401" t="s">
        <v>1236</v>
      </c>
      <c r="B87" s="887"/>
      <c r="C87" s="887"/>
      <c r="D87" s="887"/>
      <c r="E87" s="887"/>
      <c r="F87" s="887"/>
      <c r="G87" s="887"/>
      <c r="H87" s="887"/>
      <c r="I87" s="887"/>
      <c r="J87" s="887"/>
      <c r="K87" s="887"/>
      <c r="L87" s="887"/>
      <c r="M87" s="887"/>
      <c r="N87" s="887"/>
      <c r="O87" s="887"/>
      <c r="P87" s="887"/>
      <c r="Q87" s="1385"/>
    </row>
    <row r="88" spans="1:17" ht="15.75" thickBot="1" x14ac:dyDescent="0.25">
      <c r="A88" s="1402"/>
      <c r="B88" s="1403"/>
      <c r="C88" s="1403"/>
      <c r="D88" s="1403"/>
      <c r="E88" s="1403"/>
      <c r="F88" s="1403"/>
      <c r="G88" s="1403"/>
      <c r="H88" s="1403"/>
      <c r="I88" s="1403"/>
      <c r="J88" s="1403"/>
      <c r="K88" s="1403"/>
      <c r="L88" s="1403"/>
      <c r="M88" s="1403"/>
      <c r="N88" s="1403"/>
      <c r="O88" s="1403"/>
      <c r="P88" s="1403"/>
      <c r="Q88" s="1404"/>
    </row>
    <row r="89" spans="1:17" x14ac:dyDescent="0.2">
      <c r="A89" s="883" t="s">
        <v>4</v>
      </c>
    </row>
    <row r="90" spans="1:17" x14ac:dyDescent="0.2">
      <c r="A90" s="883" t="s">
        <v>4</v>
      </c>
    </row>
  </sheetData>
  <mergeCells count="19">
    <mergeCell ref="O25:Q25"/>
    <mergeCell ref="C67:Q67"/>
    <mergeCell ref="C1:Q1"/>
    <mergeCell ref="C3:D3"/>
    <mergeCell ref="F3:G3"/>
    <mergeCell ref="O3:Q3"/>
    <mergeCell ref="C23:Q23"/>
    <mergeCell ref="C25:D25"/>
    <mergeCell ref="F25:G25"/>
    <mergeCell ref="C69:D69"/>
    <mergeCell ref="F69:G69"/>
    <mergeCell ref="I69:J69"/>
    <mergeCell ref="O69:Q69"/>
    <mergeCell ref="C45:Q45"/>
    <mergeCell ref="C47:D47"/>
    <mergeCell ref="F47:G47"/>
    <mergeCell ref="I47:J47"/>
    <mergeCell ref="O47:Q47"/>
    <mergeCell ref="L47:M47"/>
  </mergeCells>
  <printOptions horizontalCentered="1" verticalCentered="1"/>
  <pageMargins left="0.45" right="0.45" top="0.5" bottom="0.5" header="0.3" footer="0.3"/>
  <pageSetup scale="69" orientation="landscape" r:id="rId1"/>
  <headerFooter>
    <oddFooter>&amp;L&amp;"Arial,Regular"&amp;10MONTHLY PRODUCTION / &amp;F (HiLoFlow).xls&amp;R&amp;"Arial,Regular"&amp;10&amp;D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BD175"/>
  <sheetViews>
    <sheetView topLeftCell="A74" zoomScale="76" zoomScaleNormal="76" workbookViewId="0">
      <selection activeCell="Q82" sqref="Q82"/>
    </sheetView>
  </sheetViews>
  <sheetFormatPr defaultColWidth="9" defaultRowHeight="16.350000000000001" customHeight="1" x14ac:dyDescent="0.2"/>
  <cols>
    <col min="1" max="1" width="9.375" style="1218" customWidth="1"/>
    <col min="2" max="5" width="9.375" style="1218" hidden="1" customWidth="1"/>
    <col min="6" max="19" width="9.375" style="1218" customWidth="1"/>
    <col min="20" max="21" width="10" style="1218" customWidth="1"/>
    <col min="22" max="22" width="9" style="1218" customWidth="1"/>
    <col min="23" max="23" width="10.125" style="1218" customWidth="1"/>
    <col min="24" max="24" width="10.875" style="1218" customWidth="1"/>
    <col min="25" max="31" width="9" style="1218" customWidth="1"/>
    <col min="32" max="32" width="8.75" style="1218" customWidth="1"/>
    <col min="33" max="42" width="9" style="1218" customWidth="1"/>
    <col min="43" max="43" width="9.125" style="1218" customWidth="1"/>
    <col min="44" max="50" width="9" style="1218" customWidth="1"/>
    <col min="51" max="51" width="1.375" style="1218" customWidth="1"/>
    <col min="52" max="52" width="8.125" style="1218" customWidth="1"/>
    <col min="53" max="53" width="6.75" style="1219" customWidth="1"/>
    <col min="54" max="54" width="9.75" style="1220" customWidth="1"/>
    <col min="55" max="55" width="10.125" style="1220" customWidth="1"/>
    <col min="56" max="16384" width="9" style="1218"/>
  </cols>
  <sheetData>
    <row r="1" spans="1:23" ht="16.350000000000001" hidden="1" customHeight="1" x14ac:dyDescent="0.25">
      <c r="A1" s="850" t="s">
        <v>33</v>
      </c>
      <c r="B1" s="850"/>
      <c r="C1" s="850"/>
      <c r="D1" s="850"/>
      <c r="E1" s="850"/>
      <c r="F1" s="850"/>
      <c r="G1" s="850"/>
      <c r="H1" s="850"/>
      <c r="I1" s="850"/>
      <c r="J1" s="850"/>
      <c r="K1" s="850"/>
      <c r="L1" s="850"/>
      <c r="M1" s="850"/>
      <c r="N1" s="1333"/>
      <c r="O1" s="1333"/>
      <c r="P1" s="1333"/>
      <c r="Q1" s="1333"/>
      <c r="R1" s="850"/>
      <c r="S1" s="850"/>
      <c r="T1" s="1270"/>
      <c r="U1" s="850"/>
      <c r="V1" s="850"/>
      <c r="W1" s="850"/>
    </row>
    <row r="2" spans="1:23" ht="16.350000000000001" hidden="1" customHeight="1" x14ac:dyDescent="0.25">
      <c r="B2" s="1221" t="s">
        <v>81</v>
      </c>
      <c r="C2" s="1221" t="s">
        <v>82</v>
      </c>
      <c r="D2" s="1221" t="s">
        <v>83</v>
      </c>
      <c r="E2" s="1221" t="s">
        <v>84</v>
      </c>
      <c r="F2" s="1221" t="s">
        <v>85</v>
      </c>
      <c r="G2" s="1221" t="s">
        <v>86</v>
      </c>
      <c r="H2" s="1221" t="s">
        <v>87</v>
      </c>
      <c r="I2" s="1221" t="s">
        <v>88</v>
      </c>
      <c r="J2" s="1221" t="s">
        <v>89</v>
      </c>
      <c r="K2" s="1221" t="s">
        <v>90</v>
      </c>
      <c r="L2" s="1221" t="s">
        <v>91</v>
      </c>
      <c r="M2" s="1221" t="s">
        <v>92</v>
      </c>
      <c r="N2" s="1221"/>
      <c r="O2" s="1221"/>
      <c r="P2" s="1221"/>
      <c r="Q2" s="1221"/>
      <c r="R2" s="1221" t="s">
        <v>93</v>
      </c>
      <c r="S2" s="1221" t="s">
        <v>94</v>
      </c>
      <c r="T2" s="1221"/>
      <c r="U2" s="1221"/>
    </row>
    <row r="3" spans="1:23" ht="16.350000000000001" hidden="1" customHeight="1" x14ac:dyDescent="0.25">
      <c r="A3" s="850" t="s">
        <v>54</v>
      </c>
      <c r="B3" s="1222">
        <v>228.1</v>
      </c>
      <c r="C3" s="1222">
        <v>140.19999999999999</v>
      </c>
      <c r="D3" s="1222">
        <v>219.8</v>
      </c>
      <c r="E3" s="1222">
        <v>143.4</v>
      </c>
      <c r="F3" s="1222">
        <v>18.899999999999999</v>
      </c>
      <c r="G3" s="1223">
        <v>8.4</v>
      </c>
      <c r="H3" s="1222">
        <v>217.2</v>
      </c>
      <c r="I3" s="1223">
        <v>134.19999999999999</v>
      </c>
      <c r="J3" s="1222">
        <v>10.199999999999999</v>
      </c>
      <c r="K3" s="1222">
        <v>8</v>
      </c>
      <c r="L3" s="1222">
        <v>10.1</v>
      </c>
      <c r="M3" s="1222">
        <v>96.7</v>
      </c>
      <c r="N3" s="1222"/>
      <c r="O3" s="1222"/>
      <c r="P3" s="1222"/>
      <c r="Q3" s="1222"/>
      <c r="R3" s="1222">
        <v>8.34</v>
      </c>
      <c r="S3" s="1222">
        <v>5.6</v>
      </c>
      <c r="T3" s="1222"/>
      <c r="U3" s="850" t="s">
        <v>54</v>
      </c>
    </row>
    <row r="4" spans="1:23" ht="16.350000000000001" hidden="1" customHeight="1" x14ac:dyDescent="0.25">
      <c r="A4" s="850" t="s">
        <v>55</v>
      </c>
      <c r="B4" s="1222">
        <v>190.3</v>
      </c>
      <c r="C4" s="1222">
        <v>88.7</v>
      </c>
      <c r="D4" s="1222">
        <v>390.7</v>
      </c>
      <c r="E4" s="1222">
        <v>284.5</v>
      </c>
      <c r="F4" s="1222">
        <v>22</v>
      </c>
      <c r="G4" s="1223">
        <v>10</v>
      </c>
      <c r="H4" s="1222">
        <v>81.599999999999994</v>
      </c>
      <c r="I4" s="1223">
        <v>48.9</v>
      </c>
      <c r="J4" s="1222">
        <v>20.9</v>
      </c>
      <c r="K4" s="1222">
        <v>10.9</v>
      </c>
      <c r="L4" s="1222">
        <v>4.9000000000000004</v>
      </c>
      <c r="M4" s="1222">
        <v>10.7</v>
      </c>
      <c r="N4" s="1222"/>
      <c r="O4" s="1222"/>
      <c r="P4" s="1222"/>
      <c r="Q4" s="1222"/>
      <c r="R4" s="1222">
        <v>61.57</v>
      </c>
      <c r="S4" s="1222">
        <v>47.6</v>
      </c>
      <c r="T4" s="1222"/>
      <c r="U4" s="850" t="s">
        <v>55</v>
      </c>
    </row>
    <row r="5" spans="1:23" ht="16.350000000000001" hidden="1" customHeight="1" x14ac:dyDescent="0.25">
      <c r="A5" s="850" t="s">
        <v>58</v>
      </c>
      <c r="B5" s="1222">
        <v>301.5</v>
      </c>
      <c r="C5" s="1222">
        <v>212.9</v>
      </c>
      <c r="D5" s="1222">
        <v>19.8</v>
      </c>
      <c r="E5" s="1222">
        <v>17.600000000000001</v>
      </c>
      <c r="F5" s="1222">
        <v>52.6</v>
      </c>
      <c r="G5" s="1223">
        <v>28.6</v>
      </c>
      <c r="H5" s="1222">
        <v>52.6</v>
      </c>
      <c r="I5" s="1223">
        <v>25.5</v>
      </c>
      <c r="J5" s="1222">
        <v>19.399999999999999</v>
      </c>
      <c r="K5" s="1222">
        <v>7.6</v>
      </c>
      <c r="L5" s="1222">
        <v>16.399999999999999</v>
      </c>
      <c r="M5" s="1222">
        <v>11.8</v>
      </c>
      <c r="N5" s="1222"/>
      <c r="O5" s="1222"/>
      <c r="P5" s="1222"/>
      <c r="Q5" s="1222"/>
      <c r="R5" s="1222">
        <v>251.06</v>
      </c>
      <c r="S5" s="1222">
        <v>209.3</v>
      </c>
      <c r="T5" s="1222"/>
      <c r="U5" s="850" t="s">
        <v>58</v>
      </c>
    </row>
    <row r="6" spans="1:23" ht="16.350000000000001" hidden="1" customHeight="1" x14ac:dyDescent="0.25">
      <c r="A6" s="850" t="s">
        <v>61</v>
      </c>
      <c r="B6" s="1222">
        <v>420.9</v>
      </c>
      <c r="C6" s="1222">
        <v>252</v>
      </c>
      <c r="D6" s="1222">
        <v>167.8</v>
      </c>
      <c r="E6" s="1222">
        <v>145.69999999999999</v>
      </c>
      <c r="F6" s="1222">
        <v>136.1</v>
      </c>
      <c r="G6" s="1223">
        <v>111.7</v>
      </c>
      <c r="H6" s="1222">
        <v>152.9</v>
      </c>
      <c r="I6" s="1223">
        <v>77.900000000000006</v>
      </c>
      <c r="J6" s="1222">
        <v>115.1</v>
      </c>
      <c r="K6" s="1222">
        <v>51.9</v>
      </c>
      <c r="L6" s="1222">
        <v>184.7</v>
      </c>
      <c r="M6" s="1222">
        <v>133.30000000000001</v>
      </c>
      <c r="N6" s="1222"/>
      <c r="O6" s="1222"/>
      <c r="P6" s="1222"/>
      <c r="Q6" s="1222"/>
      <c r="R6" s="1222">
        <v>377.7</v>
      </c>
      <c r="S6" s="1222">
        <v>300.39999999999998</v>
      </c>
      <c r="T6" s="1222"/>
      <c r="U6" s="850" t="s">
        <v>61</v>
      </c>
    </row>
    <row r="7" spans="1:23" ht="16.350000000000001" hidden="1" customHeight="1" x14ac:dyDescent="0.25">
      <c r="A7" s="850" t="s">
        <v>63</v>
      </c>
      <c r="B7" s="1222">
        <v>619.70000000000005</v>
      </c>
      <c r="C7" s="1222">
        <v>338.7</v>
      </c>
      <c r="D7" s="1222">
        <v>394.1</v>
      </c>
      <c r="E7" s="1222">
        <v>330.9</v>
      </c>
      <c r="F7" s="1222">
        <v>343.2</v>
      </c>
      <c r="G7" s="1223">
        <v>266.7</v>
      </c>
      <c r="H7" s="1222">
        <v>237</v>
      </c>
      <c r="I7" s="1222">
        <v>130.69999999999999</v>
      </c>
      <c r="J7" s="1222">
        <v>225.4</v>
      </c>
      <c r="K7" s="1222">
        <v>106.8</v>
      </c>
      <c r="L7" s="1222">
        <v>265.3</v>
      </c>
      <c r="M7" s="1222">
        <v>203.2</v>
      </c>
      <c r="N7" s="1222"/>
      <c r="O7" s="1222"/>
      <c r="P7" s="1222"/>
      <c r="Q7" s="1222"/>
      <c r="R7" s="1222">
        <v>366.64</v>
      </c>
      <c r="S7" s="1222">
        <v>277.39999999999998</v>
      </c>
      <c r="T7" s="1222"/>
      <c r="U7" s="850" t="s">
        <v>63</v>
      </c>
    </row>
    <row r="8" spans="1:23" ht="16.350000000000001" hidden="1" customHeight="1" x14ac:dyDescent="0.25">
      <c r="A8" s="850" t="s">
        <v>57</v>
      </c>
      <c r="B8" s="1222">
        <v>536.4</v>
      </c>
      <c r="C8" s="1222">
        <v>284.3</v>
      </c>
      <c r="D8" s="1222">
        <v>316.10000000000002</v>
      </c>
      <c r="E8" s="1222">
        <v>252.6</v>
      </c>
      <c r="F8" s="1222">
        <v>336.2</v>
      </c>
      <c r="G8" s="1223">
        <v>268</v>
      </c>
      <c r="H8" s="1222">
        <v>362.6</v>
      </c>
      <c r="I8" s="1222">
        <v>215</v>
      </c>
      <c r="J8" s="1222">
        <v>321.5</v>
      </c>
      <c r="K8" s="1222">
        <v>173.7</v>
      </c>
      <c r="L8" s="1222">
        <v>427.5</v>
      </c>
      <c r="M8" s="1222">
        <v>332.9</v>
      </c>
      <c r="N8" s="1222"/>
      <c r="O8" s="1222"/>
      <c r="P8" s="1222"/>
      <c r="Q8" s="1222"/>
      <c r="R8" s="1222">
        <v>343.06</v>
      </c>
      <c r="S8" s="1222">
        <v>254.9</v>
      </c>
      <c r="T8" s="1222"/>
      <c r="U8" s="850" t="s">
        <v>57</v>
      </c>
    </row>
    <row r="9" spans="1:23" ht="16.350000000000001" hidden="1" customHeight="1" x14ac:dyDescent="0.25">
      <c r="A9" s="850" t="s">
        <v>60</v>
      </c>
      <c r="B9" s="1222">
        <v>776.2</v>
      </c>
      <c r="C9" s="1222">
        <v>419.1</v>
      </c>
      <c r="D9" s="1222">
        <v>402.3</v>
      </c>
      <c r="E9" s="1222">
        <v>268.89999999999998</v>
      </c>
      <c r="F9" s="1222">
        <v>443.1</v>
      </c>
      <c r="G9" s="1223">
        <v>322.39999999999998</v>
      </c>
      <c r="H9" s="1222">
        <v>415.2</v>
      </c>
      <c r="I9" s="1222">
        <v>281.8</v>
      </c>
      <c r="J9" s="1222">
        <v>442.4</v>
      </c>
      <c r="K9" s="1222">
        <v>246.5</v>
      </c>
      <c r="L9" s="1222">
        <v>489.8</v>
      </c>
      <c r="M9" s="1222">
        <v>384.1</v>
      </c>
      <c r="N9" s="1222"/>
      <c r="O9" s="1222"/>
      <c r="P9" s="1222"/>
      <c r="Q9" s="1222"/>
      <c r="R9" s="1222">
        <v>390.36</v>
      </c>
      <c r="S9" s="1222">
        <v>296.10000000000002</v>
      </c>
      <c r="T9" s="1222"/>
      <c r="U9" s="850" t="s">
        <v>60</v>
      </c>
    </row>
    <row r="10" spans="1:23" ht="16.350000000000001" hidden="1" customHeight="1" x14ac:dyDescent="0.25">
      <c r="A10" s="850" t="s">
        <v>62</v>
      </c>
      <c r="B10" s="1222">
        <v>630</v>
      </c>
      <c r="C10" s="1222">
        <v>396.6</v>
      </c>
      <c r="D10" s="1222">
        <v>449</v>
      </c>
      <c r="E10" s="1222">
        <v>256.89999999999998</v>
      </c>
      <c r="F10" s="1222">
        <v>418.7</v>
      </c>
      <c r="G10" s="1223">
        <v>326.10000000000002</v>
      </c>
      <c r="H10" s="1222">
        <v>430.4</v>
      </c>
      <c r="I10" s="1222">
        <v>259.10000000000002</v>
      </c>
      <c r="J10" s="1222">
        <v>449.8</v>
      </c>
      <c r="K10" s="1222">
        <v>206.6</v>
      </c>
      <c r="L10" s="1222">
        <v>60.2</v>
      </c>
      <c r="M10" s="1222">
        <v>313.3</v>
      </c>
      <c r="N10" s="1222"/>
      <c r="O10" s="1222"/>
      <c r="P10" s="1222"/>
      <c r="Q10" s="1222"/>
      <c r="R10" s="1222">
        <v>411.4</v>
      </c>
      <c r="S10" s="1222">
        <v>312.89999999999998</v>
      </c>
      <c r="T10" s="1222"/>
      <c r="U10" s="850" t="s">
        <v>62</v>
      </c>
    </row>
    <row r="11" spans="1:23" ht="16.350000000000001" hidden="1" customHeight="1" x14ac:dyDescent="0.25">
      <c r="A11" s="850" t="s">
        <v>64</v>
      </c>
      <c r="B11" s="1222">
        <v>751.5</v>
      </c>
      <c r="C11" s="1222">
        <v>397.1</v>
      </c>
      <c r="D11" s="1222">
        <v>409.2</v>
      </c>
      <c r="E11" s="1222">
        <v>247.7</v>
      </c>
      <c r="F11" s="1222">
        <v>385.3</v>
      </c>
      <c r="G11" s="1223">
        <v>217.4</v>
      </c>
      <c r="H11" s="1222">
        <v>400.5</v>
      </c>
      <c r="I11" s="1222">
        <v>246.7</v>
      </c>
      <c r="J11" s="1222">
        <v>458.9</v>
      </c>
      <c r="K11" s="1222">
        <v>250.6</v>
      </c>
      <c r="L11" s="1222">
        <v>376.88</v>
      </c>
      <c r="M11" s="1222">
        <v>283.3</v>
      </c>
      <c r="N11" s="1222"/>
      <c r="O11" s="1222"/>
      <c r="P11" s="1222"/>
      <c r="Q11" s="1222"/>
      <c r="R11" s="1222">
        <v>441.18</v>
      </c>
      <c r="S11" s="1222">
        <v>336.8</v>
      </c>
      <c r="T11" s="1222"/>
      <c r="U11" s="850" t="s">
        <v>64</v>
      </c>
    </row>
    <row r="12" spans="1:23" ht="16.350000000000001" hidden="1" customHeight="1" x14ac:dyDescent="0.25">
      <c r="A12" s="850" t="s">
        <v>66</v>
      </c>
      <c r="B12" s="1222">
        <v>597</v>
      </c>
      <c r="C12" s="1222">
        <v>331.6</v>
      </c>
      <c r="D12" s="1222">
        <v>452.4</v>
      </c>
      <c r="E12" s="1222">
        <v>241.4</v>
      </c>
      <c r="F12" s="1222">
        <v>344</v>
      </c>
      <c r="G12" s="1223">
        <v>196</v>
      </c>
      <c r="H12" s="1222">
        <v>300.7</v>
      </c>
      <c r="I12" s="1222">
        <v>134.5</v>
      </c>
      <c r="J12" s="1222">
        <v>415.4</v>
      </c>
      <c r="K12" s="1222">
        <v>228.6</v>
      </c>
      <c r="L12" s="1222">
        <v>300.77999999999997</v>
      </c>
      <c r="M12" s="1222">
        <v>208.7</v>
      </c>
      <c r="N12" s="1222"/>
      <c r="O12" s="1222"/>
      <c r="P12" s="1222"/>
      <c r="Q12" s="1222"/>
      <c r="R12" s="1222">
        <v>380.8</v>
      </c>
      <c r="S12" s="1222">
        <v>264.7</v>
      </c>
      <c r="T12" s="1222"/>
      <c r="U12" s="850" t="s">
        <v>66</v>
      </c>
    </row>
    <row r="13" spans="1:23" ht="16.350000000000001" hidden="1" customHeight="1" x14ac:dyDescent="0.25">
      <c r="A13" s="850" t="s">
        <v>56</v>
      </c>
      <c r="B13" s="1222">
        <v>547.1</v>
      </c>
      <c r="C13" s="1222">
        <v>311.3</v>
      </c>
      <c r="D13" s="1222">
        <v>384.4</v>
      </c>
      <c r="E13" s="1222">
        <v>213.2</v>
      </c>
      <c r="F13" s="1222">
        <v>311</v>
      </c>
      <c r="G13" s="1223">
        <v>195.7</v>
      </c>
      <c r="H13" s="1222">
        <v>205.4</v>
      </c>
      <c r="I13" s="1222">
        <v>106.7</v>
      </c>
      <c r="J13" s="1222">
        <v>297.7</v>
      </c>
      <c r="K13" s="1222">
        <v>237</v>
      </c>
      <c r="L13" s="1222">
        <v>143.08000000000001</v>
      </c>
      <c r="M13" s="1222">
        <v>100.4</v>
      </c>
      <c r="N13" s="1222"/>
      <c r="O13" s="1222"/>
      <c r="P13" s="1222"/>
      <c r="Q13" s="1222"/>
      <c r="R13" s="1222">
        <v>204.6</v>
      </c>
      <c r="S13" s="1222">
        <v>146.80000000000001</v>
      </c>
      <c r="T13" s="1222"/>
      <c r="U13" s="850" t="s">
        <v>56</v>
      </c>
    </row>
    <row r="14" spans="1:23" ht="16.350000000000001" hidden="1" customHeight="1" x14ac:dyDescent="0.25">
      <c r="A14" s="850" t="s">
        <v>59</v>
      </c>
      <c r="B14" s="1224">
        <v>546.9</v>
      </c>
      <c r="C14" s="1224">
        <v>281</v>
      </c>
      <c r="D14" s="1224">
        <v>336.6</v>
      </c>
      <c r="E14" s="1224">
        <v>210.6</v>
      </c>
      <c r="F14" s="1224">
        <v>138.30000000000001</v>
      </c>
      <c r="G14" s="1225">
        <v>85.7</v>
      </c>
      <c r="H14" s="1224">
        <v>222</v>
      </c>
      <c r="I14" s="1224">
        <v>87.9</v>
      </c>
      <c r="J14" s="1224">
        <v>172.2</v>
      </c>
      <c r="K14" s="1224">
        <v>139.5</v>
      </c>
      <c r="L14" s="1224">
        <v>29.58</v>
      </c>
      <c r="M14" s="1224">
        <v>21.5</v>
      </c>
      <c r="N14" s="1224"/>
      <c r="O14" s="1224"/>
      <c r="P14" s="1224"/>
      <c r="Q14" s="1224"/>
      <c r="R14" s="1224">
        <v>22.32</v>
      </c>
      <c r="S14" s="1224">
        <v>16.5</v>
      </c>
      <c r="T14" s="1278"/>
      <c r="U14" s="850" t="s">
        <v>59</v>
      </c>
    </row>
    <row r="15" spans="1:23" ht="16.350000000000001" hidden="1" customHeight="1" x14ac:dyDescent="0.25">
      <c r="A15" s="850" t="s">
        <v>30</v>
      </c>
      <c r="B15" s="1226">
        <f>SUM(B3:B14)</f>
        <v>6145.6</v>
      </c>
      <c r="C15" s="1226">
        <f>SUM(C3:C14)</f>
        <v>3453.5</v>
      </c>
      <c r="D15" s="1226">
        <f>SUM(D3:D14)</f>
        <v>3942.1999999999994</v>
      </c>
      <c r="E15" s="1226">
        <f t="shared" ref="E15:M15" si="0">SUM(E3:E14)</f>
        <v>2613.3999999999996</v>
      </c>
      <c r="F15" s="1226">
        <f t="shared" si="0"/>
        <v>2949.4</v>
      </c>
      <c r="G15" s="1226">
        <f t="shared" si="0"/>
        <v>2036.7000000000003</v>
      </c>
      <c r="H15" s="1226">
        <f t="shared" si="0"/>
        <v>3078.1</v>
      </c>
      <c r="I15" s="1226">
        <f t="shared" si="0"/>
        <v>1748.9</v>
      </c>
      <c r="J15" s="1226">
        <f t="shared" si="0"/>
        <v>2948.8999999999996</v>
      </c>
      <c r="K15" s="1226">
        <f t="shared" si="0"/>
        <v>1667.6999999999998</v>
      </c>
      <c r="L15" s="1226">
        <f t="shared" si="0"/>
        <v>2309.2200000000003</v>
      </c>
      <c r="M15" s="1226">
        <f t="shared" si="0"/>
        <v>2099.8999999999996</v>
      </c>
      <c r="N15" s="1226"/>
      <c r="O15" s="1226"/>
      <c r="P15" s="1226"/>
      <c r="Q15" s="1226"/>
      <c r="R15" s="1226">
        <f>SUM(R3:R14)</f>
        <v>3259.03</v>
      </c>
      <c r="S15" s="1226">
        <f>SUM(S3:S14)</f>
        <v>2469.0000000000005</v>
      </c>
      <c r="T15" s="1226"/>
      <c r="U15" s="850" t="s">
        <v>30</v>
      </c>
    </row>
    <row r="16" spans="1:23" ht="16.350000000000001" hidden="1" customHeight="1" x14ac:dyDescent="0.25">
      <c r="B16" s="1218" t="s">
        <v>397</v>
      </c>
      <c r="C16" s="850"/>
      <c r="D16" s="850"/>
      <c r="E16" s="850"/>
      <c r="F16" s="850"/>
      <c r="G16" s="850"/>
      <c r="H16" s="850"/>
      <c r="I16" s="850"/>
      <c r="J16" s="850"/>
      <c r="K16" s="850"/>
      <c r="M16" s="1227"/>
      <c r="N16" s="1227"/>
      <c r="O16" s="1227"/>
      <c r="P16" s="1227"/>
      <c r="Q16" s="1227"/>
      <c r="R16" s="1227"/>
      <c r="S16" s="1227"/>
      <c r="T16" s="1227"/>
      <c r="U16" s="1227"/>
      <c r="V16" s="1227"/>
    </row>
    <row r="17" spans="1:56" ht="16.350000000000001" hidden="1" customHeight="1" x14ac:dyDescent="0.25">
      <c r="B17" s="1218" t="s">
        <v>396</v>
      </c>
      <c r="C17" s="850"/>
      <c r="D17" s="850"/>
      <c r="E17" s="850"/>
      <c r="F17" s="850"/>
      <c r="G17" s="850"/>
      <c r="H17" s="850"/>
      <c r="I17" s="850"/>
      <c r="J17" s="850"/>
      <c r="K17" s="850"/>
      <c r="M17" s="1227"/>
      <c r="N17" s="1227"/>
      <c r="O17" s="1227"/>
      <c r="P17" s="1227"/>
      <c r="Q17" s="1227"/>
      <c r="R17" s="1227"/>
      <c r="S17" s="1227"/>
      <c r="T17" s="1227"/>
      <c r="U17" s="1227"/>
      <c r="V17" s="1227"/>
    </row>
    <row r="18" spans="1:56" ht="16.350000000000001" hidden="1" customHeight="1" x14ac:dyDescent="0.25">
      <c r="B18" s="850"/>
      <c r="C18" s="850"/>
      <c r="D18" s="850"/>
      <c r="E18" s="850"/>
      <c r="F18" s="850"/>
      <c r="G18" s="850"/>
      <c r="H18" s="850"/>
      <c r="I18" s="850"/>
      <c r="J18" s="850"/>
      <c r="K18" s="850"/>
      <c r="M18" s="1227"/>
      <c r="N18" s="1227"/>
      <c r="O18" s="1227"/>
      <c r="P18" s="1227"/>
      <c r="Q18" s="1227"/>
      <c r="R18" s="1227"/>
      <c r="S18" s="1227"/>
      <c r="T18" s="1227"/>
      <c r="U18" s="1227"/>
      <c r="V18" s="1227"/>
    </row>
    <row r="19" spans="1:56" ht="16.350000000000001" hidden="1" customHeight="1" x14ac:dyDescent="0.25">
      <c r="A19" s="850" t="s">
        <v>101</v>
      </c>
      <c r="B19" s="850"/>
      <c r="C19" s="850"/>
      <c r="D19" s="850"/>
      <c r="E19" s="850"/>
      <c r="F19" s="850"/>
      <c r="G19" s="850"/>
      <c r="H19" s="850"/>
      <c r="I19" s="850"/>
      <c r="J19" s="850"/>
      <c r="K19" s="1434">
        <v>69</v>
      </c>
      <c r="L19" s="850"/>
      <c r="M19" s="1228"/>
      <c r="N19" s="1228"/>
      <c r="O19" s="1228"/>
      <c r="P19" s="1228"/>
      <c r="Q19" s="1228"/>
      <c r="R19" s="1228"/>
      <c r="S19" s="1228"/>
      <c r="T19" s="1228"/>
      <c r="U19" s="1228"/>
      <c r="V19" s="1228"/>
      <c r="BA19" s="1218"/>
      <c r="BB19" s="1218"/>
      <c r="BC19" s="1218"/>
      <c r="BD19" s="850"/>
    </row>
    <row r="20" spans="1:56" ht="16.350000000000001" hidden="1" customHeight="1" x14ac:dyDescent="0.25">
      <c r="A20" s="850"/>
      <c r="B20" s="1221" t="s">
        <v>81</v>
      </c>
      <c r="C20" s="1221" t="s">
        <v>82</v>
      </c>
      <c r="D20" s="1221" t="s">
        <v>83</v>
      </c>
      <c r="E20" s="1221" t="s">
        <v>84</v>
      </c>
      <c r="F20" s="1221" t="s">
        <v>85</v>
      </c>
      <c r="G20" s="1221" t="s">
        <v>86</v>
      </c>
      <c r="H20" s="1221" t="s">
        <v>87</v>
      </c>
      <c r="I20" s="1221" t="s">
        <v>88</v>
      </c>
      <c r="J20" s="1221" t="s">
        <v>89</v>
      </c>
      <c r="K20" s="1221" t="s">
        <v>90</v>
      </c>
      <c r="L20" s="1221" t="s">
        <v>91</v>
      </c>
      <c r="M20" s="1229" t="s">
        <v>92</v>
      </c>
      <c r="N20" s="1229"/>
      <c r="O20" s="1229"/>
      <c r="P20" s="1229"/>
      <c r="Q20" s="1229"/>
      <c r="R20" s="1221" t="s">
        <v>93</v>
      </c>
      <c r="S20" s="1221" t="s">
        <v>94</v>
      </c>
      <c r="T20" s="1279"/>
      <c r="U20" s="850"/>
      <c r="BA20" s="1218"/>
      <c r="BB20" s="1218"/>
      <c r="BC20" s="1218"/>
      <c r="BD20" s="850"/>
    </row>
    <row r="21" spans="1:56" ht="16.350000000000001" hidden="1" customHeight="1" x14ac:dyDescent="0.25">
      <c r="A21" s="850" t="s">
        <v>54</v>
      </c>
      <c r="B21" s="1222">
        <v>171.6</v>
      </c>
      <c r="C21" s="1222">
        <v>47.5</v>
      </c>
      <c r="D21" s="1222">
        <v>154</v>
      </c>
      <c r="E21" s="1222">
        <v>26.7</v>
      </c>
      <c r="F21" s="1222">
        <v>9.8000000000000007</v>
      </c>
      <c r="G21" s="1223">
        <v>3.6</v>
      </c>
      <c r="H21" s="1222">
        <v>174.1</v>
      </c>
      <c r="I21" s="1223">
        <v>29</v>
      </c>
      <c r="J21" s="1222">
        <v>41.7</v>
      </c>
      <c r="K21" s="1222">
        <v>7.6</v>
      </c>
      <c r="L21" s="1222">
        <v>65.400000000000006</v>
      </c>
      <c r="M21" s="1222">
        <v>12</v>
      </c>
      <c r="N21" s="1222"/>
      <c r="O21" s="1222"/>
      <c r="P21" s="1222"/>
      <c r="Q21" s="1222"/>
      <c r="R21" s="1222">
        <v>7.04</v>
      </c>
      <c r="S21" s="1222">
        <v>0</v>
      </c>
      <c r="T21" s="1222"/>
      <c r="U21" s="850" t="s">
        <v>54</v>
      </c>
      <c r="BA21" s="1218"/>
      <c r="BB21" s="1218"/>
      <c r="BC21" s="1218"/>
    </row>
    <row r="22" spans="1:56" ht="16.350000000000001" hidden="1" customHeight="1" x14ac:dyDescent="0.25">
      <c r="A22" s="850" t="s">
        <v>55</v>
      </c>
      <c r="B22" s="1222">
        <v>130.5</v>
      </c>
      <c r="C22" s="1222">
        <v>45</v>
      </c>
      <c r="D22" s="1222">
        <v>303.10000000000002</v>
      </c>
      <c r="E22" s="1222">
        <v>66</v>
      </c>
      <c r="F22" s="1222">
        <v>12.9</v>
      </c>
      <c r="G22" s="1223">
        <v>4.7</v>
      </c>
      <c r="H22" s="1222">
        <v>58</v>
      </c>
      <c r="I22" s="1223">
        <v>3.7</v>
      </c>
      <c r="J22" s="1222">
        <v>29</v>
      </c>
      <c r="K22" s="1222">
        <v>2.4</v>
      </c>
      <c r="L22" s="1222">
        <v>26.7</v>
      </c>
      <c r="M22" s="1222">
        <v>1.7</v>
      </c>
      <c r="N22" s="1222"/>
      <c r="O22" s="1222"/>
      <c r="P22" s="1222"/>
      <c r="Q22" s="1222"/>
      <c r="R22" s="1222">
        <v>16.420000000000002</v>
      </c>
      <c r="S22" s="1222">
        <v>0</v>
      </c>
      <c r="T22" s="1222"/>
      <c r="U22" s="850" t="s">
        <v>55</v>
      </c>
      <c r="BA22" s="1218"/>
      <c r="BB22" s="1218"/>
      <c r="BC22" s="1218"/>
    </row>
    <row r="23" spans="1:56" ht="16.350000000000001" hidden="1" customHeight="1" x14ac:dyDescent="0.25">
      <c r="A23" s="850" t="s">
        <v>58</v>
      </c>
      <c r="B23" s="1222">
        <v>98.9</v>
      </c>
      <c r="C23" s="1222">
        <v>51.2</v>
      </c>
      <c r="D23" s="1222">
        <v>24.9</v>
      </c>
      <c r="E23" s="1222">
        <v>13.9</v>
      </c>
      <c r="F23" s="1222">
        <v>14.3</v>
      </c>
      <c r="G23" s="1223">
        <v>1.1000000000000001</v>
      </c>
      <c r="H23" s="1222">
        <v>17.7</v>
      </c>
      <c r="I23" s="1223">
        <v>1.9</v>
      </c>
      <c r="J23" s="1222">
        <v>15.7</v>
      </c>
      <c r="K23" s="1222">
        <v>1.3</v>
      </c>
      <c r="L23" s="1222">
        <v>21.4</v>
      </c>
      <c r="M23" s="1222">
        <v>2.2999999999999998</v>
      </c>
      <c r="N23" s="1222"/>
      <c r="O23" s="1222"/>
      <c r="P23" s="1222"/>
      <c r="Q23" s="1222"/>
      <c r="R23" s="1222">
        <v>162.68</v>
      </c>
      <c r="S23" s="1222">
        <v>0</v>
      </c>
      <c r="T23" s="1222"/>
      <c r="U23" s="850" t="s">
        <v>58</v>
      </c>
      <c r="BA23" s="1218"/>
      <c r="BB23" s="1218"/>
      <c r="BC23" s="1218"/>
    </row>
    <row r="24" spans="1:56" ht="16.350000000000001" hidden="1" customHeight="1" x14ac:dyDescent="0.25">
      <c r="A24" s="850" t="s">
        <v>61</v>
      </c>
      <c r="B24" s="1222">
        <v>215.9</v>
      </c>
      <c r="C24" s="1222">
        <v>93.3</v>
      </c>
      <c r="D24" s="1222">
        <v>162.19999999999999</v>
      </c>
      <c r="E24" s="1222">
        <v>53</v>
      </c>
      <c r="F24" s="1222">
        <v>29.6</v>
      </c>
      <c r="G24" s="1223">
        <v>10</v>
      </c>
      <c r="H24" s="1222">
        <v>46</v>
      </c>
      <c r="I24" s="1223">
        <v>8.5</v>
      </c>
      <c r="J24" s="1222">
        <v>47.1</v>
      </c>
      <c r="K24" s="1222">
        <v>4.9000000000000004</v>
      </c>
      <c r="L24" s="1222">
        <v>64.2</v>
      </c>
      <c r="M24" s="1222">
        <v>11.9</v>
      </c>
      <c r="N24" s="1222"/>
      <c r="O24" s="1222"/>
      <c r="P24" s="1222"/>
      <c r="Q24" s="1222"/>
      <c r="R24" s="1222">
        <v>190.97</v>
      </c>
      <c r="S24" s="1222">
        <v>9.2899999999999991</v>
      </c>
      <c r="T24" s="1222"/>
      <c r="U24" s="850" t="s">
        <v>61</v>
      </c>
      <c r="BA24" s="1218"/>
      <c r="BB24" s="1218"/>
      <c r="BC24" s="1218"/>
    </row>
    <row r="25" spans="1:56" ht="16.350000000000001" hidden="1" customHeight="1" x14ac:dyDescent="0.25">
      <c r="A25" s="850" t="s">
        <v>63</v>
      </c>
      <c r="B25" s="1222">
        <v>296.60000000000002</v>
      </c>
      <c r="C25" s="1222">
        <v>127.1</v>
      </c>
      <c r="D25" s="1222">
        <v>223.9</v>
      </c>
      <c r="E25" s="1222">
        <v>56.4</v>
      </c>
      <c r="F25" s="1222">
        <v>222.7</v>
      </c>
      <c r="G25" s="1223">
        <v>31.4</v>
      </c>
      <c r="H25" s="1222">
        <v>142.9</v>
      </c>
      <c r="I25" s="1223">
        <v>20.399999999999999</v>
      </c>
      <c r="J25" s="1222">
        <v>111</v>
      </c>
      <c r="K25" s="1222">
        <v>10.4</v>
      </c>
      <c r="L25" s="1222">
        <v>205.9</v>
      </c>
      <c r="M25" s="1222">
        <v>39.700000000000003</v>
      </c>
      <c r="N25" s="1222"/>
      <c r="O25" s="1222"/>
      <c r="P25" s="1222"/>
      <c r="Q25" s="1222"/>
      <c r="R25" s="1222">
        <v>211.53</v>
      </c>
      <c r="S25" s="1222">
        <v>1.9</v>
      </c>
      <c r="T25" s="1222"/>
      <c r="U25" s="850" t="s">
        <v>63</v>
      </c>
      <c r="BA25" s="1218"/>
      <c r="BB25" s="1218"/>
      <c r="BC25" s="1218"/>
    </row>
    <row r="26" spans="1:56" ht="16.350000000000001" hidden="1" customHeight="1" x14ac:dyDescent="0.25">
      <c r="A26" s="850" t="s">
        <v>57</v>
      </c>
      <c r="B26" s="1222">
        <v>318.8</v>
      </c>
      <c r="C26" s="1222">
        <v>145.5</v>
      </c>
      <c r="D26" s="1222">
        <v>238.7</v>
      </c>
      <c r="E26" s="1222">
        <v>42</v>
      </c>
      <c r="F26" s="1222">
        <v>231.7</v>
      </c>
      <c r="G26" s="1223">
        <v>25.7</v>
      </c>
      <c r="H26" s="1222">
        <v>201.8</v>
      </c>
      <c r="I26" s="1223">
        <v>12.7</v>
      </c>
      <c r="J26" s="1222">
        <v>141.19999999999999</v>
      </c>
      <c r="K26" s="1222">
        <v>41.1</v>
      </c>
      <c r="L26" s="1222">
        <v>208.4</v>
      </c>
      <c r="M26" s="1222">
        <v>13.1</v>
      </c>
      <c r="N26" s="1222"/>
      <c r="O26" s="1222"/>
      <c r="P26" s="1222"/>
      <c r="Q26" s="1222"/>
      <c r="R26" s="1222">
        <v>203.24</v>
      </c>
      <c r="S26" s="1222">
        <v>0</v>
      </c>
      <c r="T26" s="1222"/>
      <c r="U26" s="850" t="s">
        <v>57</v>
      </c>
      <c r="BA26" s="1218"/>
      <c r="BB26" s="1218"/>
      <c r="BC26" s="1218"/>
    </row>
    <row r="27" spans="1:56" ht="16.350000000000001" hidden="1" customHeight="1" x14ac:dyDescent="0.25">
      <c r="A27" s="850" t="s">
        <v>60</v>
      </c>
      <c r="B27" s="1222">
        <v>370.6</v>
      </c>
      <c r="C27" s="1222">
        <v>152.6</v>
      </c>
      <c r="D27" s="1222">
        <v>266.3</v>
      </c>
      <c r="E27" s="1222">
        <v>48.7</v>
      </c>
      <c r="F27" s="1222">
        <v>267.2</v>
      </c>
      <c r="G27" s="1223">
        <v>21.5</v>
      </c>
      <c r="H27" s="1222">
        <v>242.6</v>
      </c>
      <c r="I27" s="1222">
        <v>16.5</v>
      </c>
      <c r="J27" s="1222">
        <v>207.3</v>
      </c>
      <c r="K27" s="1222">
        <v>31.6</v>
      </c>
      <c r="L27" s="1222">
        <v>236.3</v>
      </c>
      <c r="M27" s="1222">
        <v>0</v>
      </c>
      <c r="N27" s="1222"/>
      <c r="O27" s="1222"/>
      <c r="P27" s="1222"/>
      <c r="Q27" s="1222"/>
      <c r="R27" s="1222">
        <v>224.05</v>
      </c>
      <c r="S27" s="1222">
        <v>0.3</v>
      </c>
      <c r="T27" s="1222"/>
      <c r="U27" s="850" t="s">
        <v>60</v>
      </c>
      <c r="BA27" s="1218"/>
      <c r="BB27" s="1218"/>
      <c r="BC27" s="1218"/>
    </row>
    <row r="28" spans="1:56" ht="16.350000000000001" hidden="1" customHeight="1" x14ac:dyDescent="0.25">
      <c r="A28" s="850" t="s">
        <v>62</v>
      </c>
      <c r="B28" s="1222">
        <v>402.7</v>
      </c>
      <c r="C28" s="1222">
        <v>157.80000000000001</v>
      </c>
      <c r="D28" s="1222">
        <v>273.8</v>
      </c>
      <c r="E28" s="1222">
        <v>47.2</v>
      </c>
      <c r="F28" s="1222">
        <v>267.2</v>
      </c>
      <c r="G28" s="1223">
        <v>26.2</v>
      </c>
      <c r="H28" s="1222">
        <v>262.8</v>
      </c>
      <c r="I28" s="1222">
        <v>34</v>
      </c>
      <c r="J28" s="1222">
        <v>215.7</v>
      </c>
      <c r="K28" s="1222">
        <v>17.399999999999999</v>
      </c>
      <c r="L28" s="1222">
        <v>245.9</v>
      </c>
      <c r="M28" s="1222">
        <v>0</v>
      </c>
      <c r="N28" s="1222"/>
      <c r="O28" s="1222"/>
      <c r="P28" s="1222"/>
      <c r="Q28" s="1222"/>
      <c r="R28" s="1222">
        <v>235.92</v>
      </c>
      <c r="S28" s="1222">
        <v>1.8</v>
      </c>
      <c r="T28" s="1222"/>
      <c r="U28" s="850" t="s">
        <v>62</v>
      </c>
      <c r="BA28" s="1218"/>
      <c r="BB28" s="1218"/>
      <c r="BC28" s="1218"/>
    </row>
    <row r="29" spans="1:56" ht="16.350000000000001" hidden="1" customHeight="1" x14ac:dyDescent="0.25">
      <c r="A29" s="850" t="s">
        <v>64</v>
      </c>
      <c r="B29" s="1222">
        <v>376.9</v>
      </c>
      <c r="C29" s="1222">
        <v>145.80000000000001</v>
      </c>
      <c r="D29" s="1222">
        <v>243</v>
      </c>
      <c r="E29" s="1222">
        <v>68.900000000000006</v>
      </c>
      <c r="F29" s="1222">
        <v>312.2</v>
      </c>
      <c r="G29" s="1223">
        <v>30.8</v>
      </c>
      <c r="H29" s="1222">
        <v>274.60000000000002</v>
      </c>
      <c r="I29" s="1222">
        <v>21.4</v>
      </c>
      <c r="J29" s="1222">
        <v>207.4</v>
      </c>
      <c r="K29" s="1222">
        <v>14.6</v>
      </c>
      <c r="L29" s="1222">
        <v>228</v>
      </c>
      <c r="M29" s="1222">
        <v>0</v>
      </c>
      <c r="N29" s="1222"/>
      <c r="O29" s="1222"/>
      <c r="P29" s="1222"/>
      <c r="Q29" s="1222"/>
      <c r="R29" s="1222">
        <v>224</v>
      </c>
      <c r="S29" s="1222">
        <v>1.4</v>
      </c>
      <c r="T29" s="1222"/>
      <c r="U29" s="850" t="s">
        <v>64</v>
      </c>
      <c r="BA29" s="1218"/>
      <c r="BB29" s="1218"/>
      <c r="BC29" s="1218"/>
    </row>
    <row r="30" spans="1:56" ht="16.350000000000001" hidden="1" customHeight="1" x14ac:dyDescent="0.25">
      <c r="A30" s="850" t="s">
        <v>66</v>
      </c>
      <c r="B30" s="1222">
        <v>363.5</v>
      </c>
      <c r="C30" s="1222">
        <v>161.30000000000001</v>
      </c>
      <c r="D30" s="1222">
        <v>295.89999999999998</v>
      </c>
      <c r="E30" s="1222">
        <v>52.1</v>
      </c>
      <c r="F30" s="1222">
        <v>276.8</v>
      </c>
      <c r="G30" s="1223">
        <v>34.6</v>
      </c>
      <c r="H30" s="1222">
        <v>204.8</v>
      </c>
      <c r="I30" s="1222">
        <v>36.1</v>
      </c>
      <c r="J30" s="1222">
        <v>199.2</v>
      </c>
      <c r="K30" s="1222">
        <v>116.2</v>
      </c>
      <c r="L30" s="1222">
        <v>210.5</v>
      </c>
      <c r="M30" s="1222">
        <v>0</v>
      </c>
      <c r="N30" s="1222"/>
      <c r="O30" s="1222"/>
      <c r="P30" s="1222"/>
      <c r="Q30" s="1222"/>
      <c r="R30" s="1222">
        <v>224</v>
      </c>
      <c r="S30" s="1222">
        <v>105.3</v>
      </c>
      <c r="T30" s="1222"/>
      <c r="U30" s="850" t="s">
        <v>66</v>
      </c>
      <c r="BA30" s="1218"/>
      <c r="BB30" s="1218"/>
      <c r="BC30" s="1218"/>
    </row>
    <row r="31" spans="1:56" ht="16.350000000000001" hidden="1" customHeight="1" x14ac:dyDescent="0.25">
      <c r="A31" s="850" t="s">
        <v>56</v>
      </c>
      <c r="B31" s="1222">
        <v>345.9</v>
      </c>
      <c r="C31" s="1222">
        <v>96.2</v>
      </c>
      <c r="D31" s="1222">
        <v>294.89999999999998</v>
      </c>
      <c r="E31" s="1222">
        <v>48.8</v>
      </c>
      <c r="F31" s="1222">
        <v>272.8</v>
      </c>
      <c r="G31" s="1223">
        <v>22.7</v>
      </c>
      <c r="H31" s="1222">
        <v>141.69999999999999</v>
      </c>
      <c r="I31" s="1222">
        <v>15</v>
      </c>
      <c r="J31" s="1222">
        <v>217.5</v>
      </c>
      <c r="K31" s="1222">
        <v>205.4</v>
      </c>
      <c r="L31" s="1222">
        <v>119.5</v>
      </c>
      <c r="M31" s="1222">
        <v>0</v>
      </c>
      <c r="N31" s="1222"/>
      <c r="O31" s="1222"/>
      <c r="P31" s="1222"/>
      <c r="Q31" s="1222"/>
      <c r="R31" s="1222">
        <v>105.57</v>
      </c>
      <c r="S31" s="1222">
        <v>49</v>
      </c>
      <c r="T31" s="1222"/>
      <c r="U31" s="850" t="s">
        <v>56</v>
      </c>
      <c r="BA31" s="1218"/>
      <c r="BB31" s="1218"/>
      <c r="BC31" s="1218"/>
    </row>
    <row r="32" spans="1:56" ht="16.350000000000001" hidden="1" customHeight="1" x14ac:dyDescent="0.25">
      <c r="A32" s="850" t="s">
        <v>59</v>
      </c>
      <c r="B32" s="1224">
        <v>328.4</v>
      </c>
      <c r="C32" s="1224">
        <v>94.5</v>
      </c>
      <c r="D32" s="1224">
        <v>225.3</v>
      </c>
      <c r="E32" s="1224">
        <v>44</v>
      </c>
      <c r="F32" s="1224">
        <v>140.6</v>
      </c>
      <c r="G32" s="1225">
        <v>11.1</v>
      </c>
      <c r="H32" s="1224">
        <v>159.80000000000001</v>
      </c>
      <c r="I32" s="1224">
        <v>6.6</v>
      </c>
      <c r="J32" s="1224">
        <v>112.1</v>
      </c>
      <c r="K32" s="1224">
        <v>103.8</v>
      </c>
      <c r="L32" s="1224">
        <v>51.2</v>
      </c>
      <c r="M32" s="1224">
        <v>0</v>
      </c>
      <c r="N32" s="1224"/>
      <c r="O32" s="1224"/>
      <c r="P32" s="1224"/>
      <c r="Q32" s="1224"/>
      <c r="R32" s="1224">
        <v>96.45</v>
      </c>
      <c r="S32" s="1224">
        <v>17.3</v>
      </c>
      <c r="T32" s="1278"/>
      <c r="U32" s="850" t="s">
        <v>59</v>
      </c>
      <c r="BA32" s="1218"/>
      <c r="BB32" s="1218"/>
      <c r="BC32" s="1218"/>
    </row>
    <row r="33" spans="1:55" ht="16.350000000000001" hidden="1" customHeight="1" x14ac:dyDescent="0.25">
      <c r="A33" s="850" t="s">
        <v>30</v>
      </c>
      <c r="B33" s="1228">
        <f>SUM(B21:B32)</f>
        <v>3420.3</v>
      </c>
      <c r="C33" s="1228">
        <f>SUM(C21:C32)</f>
        <v>1317.8</v>
      </c>
      <c r="D33" s="1228">
        <f>SUM(D21:D32)</f>
        <v>2706</v>
      </c>
      <c r="E33" s="1228">
        <f t="shared" ref="E33:M33" si="1">SUM(E21:E32)</f>
        <v>567.69999999999993</v>
      </c>
      <c r="F33" s="1226">
        <f t="shared" si="1"/>
        <v>2057.8000000000002</v>
      </c>
      <c r="G33" s="1226">
        <f t="shared" si="1"/>
        <v>223.39999999999998</v>
      </c>
      <c r="H33" s="1226">
        <f t="shared" si="1"/>
        <v>1926.8</v>
      </c>
      <c r="I33" s="1226">
        <f t="shared" si="1"/>
        <v>205.79999999999998</v>
      </c>
      <c r="J33" s="1226">
        <f t="shared" si="1"/>
        <v>1544.8999999999999</v>
      </c>
      <c r="K33" s="1226">
        <f t="shared" si="1"/>
        <v>556.69999999999993</v>
      </c>
      <c r="L33" s="1226">
        <f t="shared" si="1"/>
        <v>1683.4</v>
      </c>
      <c r="M33" s="1226">
        <f t="shared" si="1"/>
        <v>80.699999999999989</v>
      </c>
      <c r="N33" s="1226"/>
      <c r="O33" s="1226"/>
      <c r="P33" s="1226"/>
      <c r="Q33" s="1226"/>
      <c r="R33" s="1226">
        <f>SUM(R21:R32)</f>
        <v>1901.8700000000001</v>
      </c>
      <c r="S33" s="1226">
        <f>SUM(S21:S32)</f>
        <v>186.29000000000002</v>
      </c>
      <c r="T33" s="1226"/>
      <c r="U33" s="850" t="s">
        <v>30</v>
      </c>
      <c r="BA33" s="1218"/>
      <c r="BB33" s="1218"/>
      <c r="BC33" s="1218"/>
    </row>
    <row r="34" spans="1:55" ht="16.350000000000001" hidden="1" customHeight="1" x14ac:dyDescent="0.2">
      <c r="B34" s="1218" t="s">
        <v>399</v>
      </c>
      <c r="BA34" s="1218"/>
      <c r="BB34" s="1218"/>
      <c r="BC34" s="1218"/>
    </row>
    <row r="35" spans="1:55" ht="16.350000000000001" hidden="1" customHeight="1" x14ac:dyDescent="0.2">
      <c r="B35" s="1218" t="s">
        <v>398</v>
      </c>
      <c r="I35" s="1227"/>
      <c r="BA35" s="1218"/>
      <c r="BB35" s="1218"/>
      <c r="BC35" s="1218"/>
    </row>
    <row r="36" spans="1:55" s="1230" customFormat="1" ht="16.350000000000001" hidden="1" customHeight="1" x14ac:dyDescent="0.25">
      <c r="A36" s="1218"/>
      <c r="W36" s="1218"/>
      <c r="X36" s="1218"/>
      <c r="Y36" s="1218"/>
      <c r="Z36" s="1218"/>
      <c r="AA36" s="1218"/>
      <c r="AB36" s="1218"/>
      <c r="AC36" s="1218"/>
      <c r="AD36" s="1218"/>
      <c r="AE36" s="1218"/>
      <c r="AF36" s="1218"/>
      <c r="AG36" s="1218"/>
      <c r="AH36" s="1218"/>
      <c r="AI36" s="1218"/>
      <c r="AJ36" s="1218"/>
      <c r="AK36" s="1218"/>
      <c r="AL36" s="1218"/>
      <c r="AM36" s="1218"/>
      <c r="AN36" s="1218"/>
      <c r="AO36" s="1218"/>
      <c r="AP36" s="1218"/>
      <c r="AQ36" s="1218"/>
      <c r="AR36" s="1218"/>
      <c r="AS36" s="1218"/>
      <c r="AT36" s="1218"/>
      <c r="AU36" s="1218"/>
      <c r="AV36" s="1218"/>
      <c r="AW36" s="1218"/>
      <c r="AX36" s="1218"/>
      <c r="AY36" s="1218"/>
      <c r="AZ36" s="1218"/>
      <c r="BA36" s="1219"/>
      <c r="BB36" s="1220"/>
      <c r="BC36" s="1220"/>
    </row>
    <row r="37" spans="1:55" ht="16.350000000000001" hidden="1" customHeight="1" x14ac:dyDescent="0.25">
      <c r="A37" s="850" t="s">
        <v>33</v>
      </c>
      <c r="B37" s="850"/>
      <c r="C37" s="850"/>
      <c r="D37" s="850"/>
      <c r="E37" s="850"/>
      <c r="F37" s="850"/>
      <c r="G37" s="850"/>
      <c r="H37" s="850"/>
      <c r="I37" s="850"/>
      <c r="K37" s="850"/>
      <c r="L37" s="850"/>
      <c r="M37" s="850"/>
      <c r="N37" s="1333"/>
      <c r="O37" s="1333"/>
      <c r="P37" s="1333"/>
      <c r="Q37" s="1333"/>
      <c r="R37" s="850"/>
      <c r="S37" s="850"/>
      <c r="T37" s="1270"/>
      <c r="U37" s="850"/>
      <c r="V37" s="850"/>
      <c r="W37" s="850"/>
    </row>
    <row r="38" spans="1:55" ht="16.350000000000001" hidden="1" customHeight="1" x14ac:dyDescent="0.25">
      <c r="A38" s="1221"/>
      <c r="B38" s="1221" t="s">
        <v>95</v>
      </c>
      <c r="C38" s="1221" t="s">
        <v>96</v>
      </c>
      <c r="D38" s="1221" t="s">
        <v>97</v>
      </c>
      <c r="E38" s="1221" t="s">
        <v>98</v>
      </c>
      <c r="F38" s="1231" t="s">
        <v>236</v>
      </c>
      <c r="G38" s="1231" t="s">
        <v>237</v>
      </c>
      <c r="H38" s="1231" t="s">
        <v>357</v>
      </c>
      <c r="I38" s="1231" t="s">
        <v>358</v>
      </c>
      <c r="J38" s="1231" t="s">
        <v>400</v>
      </c>
      <c r="K38" s="1231" t="s">
        <v>401</v>
      </c>
      <c r="L38" s="1231" t="s">
        <v>455</v>
      </c>
      <c r="M38" s="1231" t="s">
        <v>456</v>
      </c>
      <c r="N38" s="1231"/>
      <c r="O38" s="1231"/>
      <c r="P38" s="1231"/>
      <c r="Q38" s="1231"/>
      <c r="R38" s="1231" t="s">
        <v>590</v>
      </c>
      <c r="S38" s="1231" t="s">
        <v>589</v>
      </c>
      <c r="T38" s="1231"/>
      <c r="U38" s="1231"/>
      <c r="V38" s="1232"/>
      <c r="W38" s="1233" t="s">
        <v>99</v>
      </c>
      <c r="X38" s="1233" t="s">
        <v>100</v>
      </c>
    </row>
    <row r="39" spans="1:55" ht="16.350000000000001" hidden="1" customHeight="1" x14ac:dyDescent="0.25">
      <c r="A39" s="850" t="s">
        <v>54</v>
      </c>
      <c r="B39" s="1222">
        <v>36.799999999999997</v>
      </c>
      <c r="C39" s="1222">
        <v>25</v>
      </c>
      <c r="D39" s="1222">
        <v>250.44</v>
      </c>
      <c r="E39" s="1222">
        <v>246.8</v>
      </c>
      <c r="F39" s="1222">
        <v>123.6</v>
      </c>
      <c r="G39" s="1222">
        <v>116.9</v>
      </c>
      <c r="H39" s="1222">
        <v>76.400000000000006</v>
      </c>
      <c r="I39" s="1222">
        <v>73.7</v>
      </c>
      <c r="J39" s="1222">
        <v>136.19999999999999</v>
      </c>
      <c r="K39" s="1222">
        <v>134.80000000000001</v>
      </c>
      <c r="L39" s="1222">
        <v>61.3</v>
      </c>
      <c r="M39" s="1222">
        <v>46.5</v>
      </c>
      <c r="N39" s="1222"/>
      <c r="O39" s="1222"/>
      <c r="P39" s="1222"/>
      <c r="Q39" s="1222"/>
      <c r="R39" s="1222">
        <v>80.8</v>
      </c>
      <c r="S39" s="1222">
        <v>56.1</v>
      </c>
      <c r="T39" s="1222"/>
      <c r="U39" s="850" t="s">
        <v>54</v>
      </c>
      <c r="V39" s="1234" t="s">
        <v>616</v>
      </c>
      <c r="W39" s="1235">
        <f>SUM(B9:B14,D3:D8)</f>
        <v>5357.0000000000009</v>
      </c>
      <c r="X39" s="1235">
        <f>SUM(C9:C14,E3:E8)</f>
        <v>3311.3999999999996</v>
      </c>
    </row>
    <row r="40" spans="1:55" ht="16.350000000000001" hidden="1" customHeight="1" x14ac:dyDescent="0.25">
      <c r="A40" s="850" t="s">
        <v>55</v>
      </c>
      <c r="B40" s="1222">
        <v>4.4000000000000004</v>
      </c>
      <c r="C40" s="1222">
        <v>2.6</v>
      </c>
      <c r="D40" s="1222">
        <v>65.8</v>
      </c>
      <c r="E40" s="1222">
        <v>57.6</v>
      </c>
      <c r="F40" s="1222">
        <v>31.5</v>
      </c>
      <c r="G40" s="1222">
        <v>22.8</v>
      </c>
      <c r="H40" s="1222">
        <v>138.6</v>
      </c>
      <c r="I40" s="1222">
        <v>156</v>
      </c>
      <c r="J40" s="1222">
        <v>116.5</v>
      </c>
      <c r="K40" s="1222">
        <v>118.4</v>
      </c>
      <c r="L40" s="1222">
        <v>218.6</v>
      </c>
      <c r="M40" s="1222">
        <v>165.4</v>
      </c>
      <c r="N40" s="1222"/>
      <c r="O40" s="1222"/>
      <c r="P40" s="1222"/>
      <c r="Q40" s="1222"/>
      <c r="R40" s="1222">
        <v>57.6</v>
      </c>
      <c r="S40" s="1222">
        <v>41.4</v>
      </c>
      <c r="T40" s="1222"/>
      <c r="U40" s="850" t="s">
        <v>55</v>
      </c>
      <c r="V40" s="1234" t="s">
        <v>617</v>
      </c>
      <c r="W40" s="1235" t="e">
        <f>SUM(D9:D14,#REF!)</f>
        <v>#REF!</v>
      </c>
      <c r="X40" s="1235" t="e">
        <f>SUM(E9:E14,#REF!)</f>
        <v>#REF!</v>
      </c>
    </row>
    <row r="41" spans="1:55" ht="16.350000000000001" hidden="1" customHeight="1" x14ac:dyDescent="0.25">
      <c r="A41" s="850" t="s">
        <v>58</v>
      </c>
      <c r="B41" s="1222">
        <v>21.6</v>
      </c>
      <c r="C41" s="1222">
        <v>12.6</v>
      </c>
      <c r="D41" s="1222">
        <v>225.8</v>
      </c>
      <c r="E41" s="1222">
        <v>199.4</v>
      </c>
      <c r="F41" s="1222">
        <v>41.6</v>
      </c>
      <c r="G41" s="1222">
        <v>29.6</v>
      </c>
      <c r="H41" s="1222">
        <v>382.8</v>
      </c>
      <c r="I41" s="1236">
        <v>327.10000000000002</v>
      </c>
      <c r="J41" s="1236">
        <v>71.099999999999994</v>
      </c>
      <c r="K41" s="1236">
        <v>75.599999999999994</v>
      </c>
      <c r="L41" s="1236">
        <v>146.30000000000001</v>
      </c>
      <c r="M41" s="1236">
        <v>161.19999999999999</v>
      </c>
      <c r="N41" s="1236"/>
      <c r="O41" s="1236"/>
      <c r="P41" s="1236"/>
      <c r="Q41" s="1236"/>
      <c r="R41" s="1236">
        <v>24.8</v>
      </c>
      <c r="S41" s="1236">
        <v>27.6</v>
      </c>
      <c r="T41" s="1236"/>
      <c r="U41" s="850" t="s">
        <v>58</v>
      </c>
      <c r="V41" s="1234" t="s">
        <v>618</v>
      </c>
      <c r="W41" s="1235" t="e">
        <f>SUM(#REF!,F3:F8)</f>
        <v>#REF!</v>
      </c>
      <c r="X41" s="1235">
        <v>0</v>
      </c>
    </row>
    <row r="42" spans="1:55" ht="16.350000000000001" hidden="1" customHeight="1" x14ac:dyDescent="0.25">
      <c r="A42" s="850" t="s">
        <v>61</v>
      </c>
      <c r="B42" s="1222">
        <v>43.78</v>
      </c>
      <c r="C42" s="1222">
        <v>29.9</v>
      </c>
      <c r="D42" s="1222">
        <v>125.32</v>
      </c>
      <c r="E42" s="1222">
        <v>101</v>
      </c>
      <c r="F42" s="1222">
        <v>111.3</v>
      </c>
      <c r="G42" s="1222">
        <v>86.5</v>
      </c>
      <c r="H42" s="1222">
        <v>386.6</v>
      </c>
      <c r="I42" s="1236">
        <v>329.6</v>
      </c>
      <c r="J42" s="1236">
        <v>118.6</v>
      </c>
      <c r="K42" s="1236">
        <v>122.2</v>
      </c>
      <c r="L42" s="1236">
        <v>260.89999999999998</v>
      </c>
      <c r="M42" s="1236">
        <v>289.5</v>
      </c>
      <c r="N42" s="1236"/>
      <c r="O42" s="1236"/>
      <c r="P42" s="1236"/>
      <c r="Q42" s="1236"/>
      <c r="R42" s="1236">
        <v>101.5</v>
      </c>
      <c r="S42" s="1236">
        <v>119.3</v>
      </c>
      <c r="T42" s="1236"/>
      <c r="U42" s="850" t="s">
        <v>61</v>
      </c>
      <c r="V42" s="1234" t="s">
        <v>619</v>
      </c>
      <c r="W42" s="1235">
        <f>SUM(F9:F14,H3:H8)</f>
        <v>3144.2999999999997</v>
      </c>
      <c r="X42" s="1235">
        <v>0</v>
      </c>
    </row>
    <row r="43" spans="1:55" ht="16.350000000000001" hidden="1" customHeight="1" x14ac:dyDescent="0.25">
      <c r="A43" s="850" t="s">
        <v>63</v>
      </c>
      <c r="B43" s="1222">
        <v>70.48</v>
      </c>
      <c r="C43" s="1222">
        <v>51.3</v>
      </c>
      <c r="D43" s="1222">
        <v>276.76</v>
      </c>
      <c r="E43" s="1222">
        <v>209.9</v>
      </c>
      <c r="F43" s="1222">
        <v>251</v>
      </c>
      <c r="G43" s="1222">
        <v>192.4</v>
      </c>
      <c r="H43" s="1222">
        <v>378.4</v>
      </c>
      <c r="I43" s="1236">
        <v>306.5</v>
      </c>
      <c r="J43" s="1236">
        <v>216.7</v>
      </c>
      <c r="K43" s="1236">
        <v>209.2</v>
      </c>
      <c r="L43" s="1236">
        <v>298.8</v>
      </c>
      <c r="M43" s="1236">
        <v>267</v>
      </c>
      <c r="N43" s="1236"/>
      <c r="O43" s="1236"/>
      <c r="P43" s="1236"/>
      <c r="Q43" s="1236"/>
      <c r="R43" s="1236">
        <v>200.8</v>
      </c>
      <c r="S43" s="1236">
        <v>175.3</v>
      </c>
      <c r="T43" s="1236"/>
      <c r="U43" s="850" t="s">
        <v>63</v>
      </c>
      <c r="V43" s="1234" t="s">
        <v>620</v>
      </c>
      <c r="W43" s="1235">
        <f>SUM(H9:H14,J3:J8)</f>
        <v>2686.7000000000003</v>
      </c>
      <c r="X43" s="1235">
        <f>SUM(I9:I14,K3:K8)</f>
        <v>1475.6000000000004</v>
      </c>
    </row>
    <row r="44" spans="1:55" ht="16.350000000000001" hidden="1" customHeight="1" x14ac:dyDescent="0.25">
      <c r="A44" s="850" t="s">
        <v>57</v>
      </c>
      <c r="B44" s="1222">
        <v>233.34</v>
      </c>
      <c r="C44" s="1222">
        <v>170.2</v>
      </c>
      <c r="D44" s="1222">
        <v>378.84</v>
      </c>
      <c r="E44" s="1222">
        <v>269.10000000000002</v>
      </c>
      <c r="F44" s="1222">
        <v>378.3</v>
      </c>
      <c r="G44" s="1222">
        <v>291.3</v>
      </c>
      <c r="H44" s="1222">
        <v>414.8</v>
      </c>
      <c r="I44" s="1237">
        <v>323.39999999999998</v>
      </c>
      <c r="J44" s="1236">
        <v>263.7</v>
      </c>
      <c r="K44" s="1236">
        <v>257.89999999999998</v>
      </c>
      <c r="L44" s="1236">
        <v>442.1</v>
      </c>
      <c r="M44" s="1236">
        <v>161.6</v>
      </c>
      <c r="N44" s="1236"/>
      <c r="O44" s="1236"/>
      <c r="P44" s="1236"/>
      <c r="Q44" s="1236"/>
      <c r="R44" s="1236">
        <v>287.39999999999998</v>
      </c>
      <c r="S44" s="1236">
        <v>259.39999999999998</v>
      </c>
      <c r="T44" s="1236"/>
      <c r="U44" s="850" t="s">
        <v>57</v>
      </c>
      <c r="V44" s="1234" t="s">
        <v>621</v>
      </c>
      <c r="W44" s="1235">
        <f>SUM(J9:J14,L3:L8)</f>
        <v>3145.2999999999997</v>
      </c>
      <c r="X44" s="1235">
        <f>SUM(K9:K14,M3:M8)</f>
        <v>2097.4</v>
      </c>
    </row>
    <row r="45" spans="1:55" ht="16.350000000000001" hidden="1" customHeight="1" x14ac:dyDescent="0.25">
      <c r="A45" s="850" t="s">
        <v>60</v>
      </c>
      <c r="B45" s="1222">
        <v>369.64</v>
      </c>
      <c r="C45" s="1222">
        <v>258.60000000000002</v>
      </c>
      <c r="D45" s="1222">
        <v>388.7</v>
      </c>
      <c r="E45" s="1222">
        <v>286.39999999999998</v>
      </c>
      <c r="F45" s="1222">
        <v>404.1</v>
      </c>
      <c r="G45" s="1222">
        <v>328</v>
      </c>
      <c r="H45" s="1222">
        <v>342.6</v>
      </c>
      <c r="I45" s="1035">
        <v>348.7</v>
      </c>
      <c r="J45" s="1035">
        <v>398.9</v>
      </c>
      <c r="K45" s="1035">
        <v>378.5</v>
      </c>
      <c r="L45" s="1035">
        <v>325.5</v>
      </c>
      <c r="M45" s="1035">
        <v>300.7</v>
      </c>
      <c r="N45" s="1035"/>
      <c r="O45" s="1035"/>
      <c r="P45" s="1035"/>
      <c r="Q45" s="1035"/>
      <c r="R45" s="1035">
        <v>306.5</v>
      </c>
      <c r="S45" s="1035">
        <v>271.60000000000002</v>
      </c>
      <c r="T45" s="1035"/>
      <c r="U45" s="850" t="s">
        <v>60</v>
      </c>
      <c r="V45" s="1234" t="s">
        <v>622</v>
      </c>
      <c r="W45" s="1235">
        <f>SUM(L9:L14,R3:R8)</f>
        <v>2808.6899999999991</v>
      </c>
      <c r="X45" s="1235">
        <f>SUM(M9:M14,S3:S8)</f>
        <v>2406.5</v>
      </c>
    </row>
    <row r="46" spans="1:55" ht="16.350000000000001" hidden="1" customHeight="1" x14ac:dyDescent="0.25">
      <c r="A46" s="850" t="s">
        <v>62</v>
      </c>
      <c r="B46" s="1222">
        <v>393.34</v>
      </c>
      <c r="C46" s="1222">
        <v>295.8</v>
      </c>
      <c r="D46" s="1222">
        <v>363.34</v>
      </c>
      <c r="E46" s="1222">
        <v>274</v>
      </c>
      <c r="F46" s="1222">
        <v>355.1</v>
      </c>
      <c r="G46" s="1222">
        <v>307.10000000000002</v>
      </c>
      <c r="H46" s="1222">
        <v>359.2</v>
      </c>
      <c r="I46" s="1035">
        <v>359.1</v>
      </c>
      <c r="J46" s="1035">
        <v>392.2</v>
      </c>
      <c r="K46" s="1035">
        <v>393.2</v>
      </c>
      <c r="L46" s="1035">
        <v>320.3</v>
      </c>
      <c r="M46" s="1035">
        <v>295.8</v>
      </c>
      <c r="N46" s="1035"/>
      <c r="O46" s="1035"/>
      <c r="P46" s="1035"/>
      <c r="Q46" s="1035"/>
      <c r="R46" s="1035">
        <v>318.7</v>
      </c>
      <c r="S46" s="1035">
        <v>280.3</v>
      </c>
      <c r="T46" s="1035"/>
      <c r="U46" s="850" t="s">
        <v>62</v>
      </c>
      <c r="V46" s="1234" t="s">
        <v>623</v>
      </c>
      <c r="W46" s="1235">
        <f>SUM(R9:R14,B39:B44)</f>
        <v>2261.06</v>
      </c>
      <c r="X46" s="1235">
        <f>SUM(S9:S14,C39:C44)</f>
        <v>1665.3999999999999</v>
      </c>
    </row>
    <row r="47" spans="1:55" ht="16.350000000000001" hidden="1" customHeight="1" x14ac:dyDescent="0.25">
      <c r="A47" s="850" t="s">
        <v>64</v>
      </c>
      <c r="B47" s="1222">
        <v>354.22</v>
      </c>
      <c r="C47" s="1222">
        <v>254.2</v>
      </c>
      <c r="D47" s="1222">
        <v>335.94</v>
      </c>
      <c r="E47" s="1222">
        <v>250.6</v>
      </c>
      <c r="F47" s="1222">
        <v>310.8</v>
      </c>
      <c r="G47" s="1222">
        <v>268.5</v>
      </c>
      <c r="H47" s="1222">
        <v>428.6</v>
      </c>
      <c r="I47" s="1035">
        <v>339.5</v>
      </c>
      <c r="J47" s="1035">
        <v>392.4</v>
      </c>
      <c r="K47" s="1035">
        <v>292.3</v>
      </c>
      <c r="L47" s="1035">
        <v>439.1</v>
      </c>
      <c r="M47" s="1035">
        <v>297.10000000000002</v>
      </c>
      <c r="N47" s="1035"/>
      <c r="O47" s="1035"/>
      <c r="P47" s="1035"/>
      <c r="Q47" s="1035"/>
      <c r="R47" s="1035">
        <v>392.3</v>
      </c>
      <c r="S47" s="1035">
        <v>240.1</v>
      </c>
      <c r="T47" s="1035"/>
      <c r="U47" s="850" t="s">
        <v>64</v>
      </c>
      <c r="V47" s="1234" t="s">
        <v>624</v>
      </c>
      <c r="W47" s="1235">
        <f>SUM(B45:B50,D39:D44)</f>
        <v>3180.4400000000005</v>
      </c>
      <c r="X47" s="1235">
        <f>SUM(C45:C50,E39:E44)</f>
        <v>2480.5</v>
      </c>
    </row>
    <row r="48" spans="1:55" ht="16.350000000000001" hidden="1" customHeight="1" x14ac:dyDescent="0.25">
      <c r="A48" s="850" t="s">
        <v>66</v>
      </c>
      <c r="B48" s="1222">
        <v>327.45999999999998</v>
      </c>
      <c r="C48" s="1222">
        <v>234.7</v>
      </c>
      <c r="D48" s="1222">
        <v>387</v>
      </c>
      <c r="E48" s="1222">
        <v>285.60000000000002</v>
      </c>
      <c r="F48" s="1222">
        <v>250.1</v>
      </c>
      <c r="G48" s="1222">
        <v>224.3</v>
      </c>
      <c r="H48" s="1222">
        <v>322.8</v>
      </c>
      <c r="I48" s="1035">
        <v>256.3</v>
      </c>
      <c r="J48" s="1035">
        <v>366.9</v>
      </c>
      <c r="K48" s="1035">
        <v>272.7</v>
      </c>
      <c r="L48" s="1035">
        <v>357.4</v>
      </c>
      <c r="M48" s="1035">
        <v>233.4</v>
      </c>
      <c r="N48" s="1035"/>
      <c r="O48" s="1035"/>
      <c r="P48" s="1035"/>
      <c r="Q48" s="1035"/>
      <c r="R48" s="1035">
        <v>358.5</v>
      </c>
      <c r="S48" s="1035">
        <v>226</v>
      </c>
      <c r="T48" s="1035"/>
      <c r="U48" s="850" t="s">
        <v>66</v>
      </c>
      <c r="V48" s="1234" t="s">
        <v>625</v>
      </c>
      <c r="W48" s="1235" t="e">
        <f>SUM(D45:D50,#REF!)</f>
        <v>#REF!</v>
      </c>
      <c r="X48" s="1235" t="e">
        <f>SUM(E45:E50,#REF!)</f>
        <v>#REF!</v>
      </c>
    </row>
    <row r="49" spans="1:24" ht="16.350000000000001" hidden="1" customHeight="1" x14ac:dyDescent="0.25">
      <c r="A49" s="850" t="s">
        <v>56</v>
      </c>
      <c r="B49" s="1222">
        <v>239.48</v>
      </c>
      <c r="C49" s="1222">
        <v>184.1</v>
      </c>
      <c r="D49" s="1222">
        <v>280.95999999999998</v>
      </c>
      <c r="E49" s="1222">
        <v>208.5</v>
      </c>
      <c r="F49" s="1222">
        <v>104.1</v>
      </c>
      <c r="G49" s="1222">
        <v>72.3</v>
      </c>
      <c r="H49" s="1222">
        <v>191.3</v>
      </c>
      <c r="I49" s="1035">
        <v>128.9</v>
      </c>
      <c r="J49" s="1035">
        <v>240.9</v>
      </c>
      <c r="K49" s="1035">
        <v>166.2</v>
      </c>
      <c r="L49" s="1035">
        <v>88.6</v>
      </c>
      <c r="M49" s="1035">
        <v>66.8</v>
      </c>
      <c r="N49" s="1035"/>
      <c r="O49" s="1035"/>
      <c r="P49" s="1035"/>
      <c r="Q49" s="1035"/>
      <c r="R49" s="1035">
        <v>137.69999999999999</v>
      </c>
      <c r="S49" s="1035">
        <v>105.5</v>
      </c>
      <c r="T49" s="1035"/>
      <c r="U49" s="850" t="s">
        <v>56</v>
      </c>
      <c r="V49" s="1234" t="s">
        <v>626</v>
      </c>
      <c r="W49" s="1235" t="e">
        <f>SUM(#REF!,F39:F44)</f>
        <v>#REF!</v>
      </c>
      <c r="X49" s="1235" t="e">
        <f>SUM(#REF!,G39:G44)</f>
        <v>#REF!</v>
      </c>
    </row>
    <row r="50" spans="1:24" ht="16.350000000000001" hidden="1" customHeight="1" x14ac:dyDescent="0.25">
      <c r="A50" s="850" t="s">
        <v>59</v>
      </c>
      <c r="B50" s="1224">
        <v>173.34</v>
      </c>
      <c r="C50" s="1224">
        <v>169.3</v>
      </c>
      <c r="D50" s="1224">
        <v>298.58</v>
      </c>
      <c r="E50" s="1224">
        <v>210.9</v>
      </c>
      <c r="F50" s="1224">
        <v>46.1</v>
      </c>
      <c r="G50" s="1224">
        <v>30.6</v>
      </c>
      <c r="H50" s="1224">
        <v>120.9</v>
      </c>
      <c r="I50" s="1039">
        <v>83.1</v>
      </c>
      <c r="J50" s="1039">
        <v>222.5</v>
      </c>
      <c r="K50" s="1039">
        <v>153.4</v>
      </c>
      <c r="L50" s="1039">
        <v>133.4</v>
      </c>
      <c r="M50" s="1039">
        <v>100.6</v>
      </c>
      <c r="N50" s="1039"/>
      <c r="O50" s="1039"/>
      <c r="P50" s="1039"/>
      <c r="Q50" s="1039"/>
      <c r="R50" s="1039">
        <v>234.1</v>
      </c>
      <c r="S50" s="1039">
        <v>177.3</v>
      </c>
      <c r="T50" s="1035"/>
      <c r="U50" s="850" t="s">
        <v>59</v>
      </c>
      <c r="V50" s="1234" t="s">
        <v>627</v>
      </c>
      <c r="W50" s="1235">
        <f>SUM(F45:F50,H39:H44)</f>
        <v>3247.9</v>
      </c>
      <c r="X50" s="1235">
        <f>SUM(G45:G50,I39:I44)</f>
        <v>2747.1</v>
      </c>
    </row>
    <row r="51" spans="1:24" ht="16.350000000000001" hidden="1" customHeight="1" x14ac:dyDescent="0.25">
      <c r="A51" s="850" t="s">
        <v>30</v>
      </c>
      <c r="B51" s="1226">
        <f>SUM(B39:B50)</f>
        <v>2267.88</v>
      </c>
      <c r="C51" s="1226">
        <f>SUM(C39:C50)</f>
        <v>1688.3</v>
      </c>
      <c r="D51" s="1226">
        <f>SUM(D39:D50)</f>
        <v>3377.48</v>
      </c>
      <c r="E51" s="1226">
        <f>SUM(E39:E50)</f>
        <v>2599.8000000000002</v>
      </c>
      <c r="F51" s="1226">
        <f t="shared" ref="F51:M51" si="2">SUM(F39:F50)</f>
        <v>2407.6</v>
      </c>
      <c r="G51" s="1226">
        <f t="shared" si="2"/>
        <v>1970.2999999999997</v>
      </c>
      <c r="H51" s="1226">
        <f t="shared" si="2"/>
        <v>3543</v>
      </c>
      <c r="I51" s="1226">
        <f t="shared" si="2"/>
        <v>3031.9000000000005</v>
      </c>
      <c r="J51" s="1226">
        <f t="shared" si="2"/>
        <v>2936.6</v>
      </c>
      <c r="K51" s="1226">
        <f t="shared" si="2"/>
        <v>2574.3999999999996</v>
      </c>
      <c r="L51" s="1226">
        <f t="shared" si="2"/>
        <v>3092.3</v>
      </c>
      <c r="M51" s="1226">
        <f t="shared" si="2"/>
        <v>2385.6000000000004</v>
      </c>
      <c r="N51" s="1226"/>
      <c r="O51" s="1226"/>
      <c r="P51" s="1226"/>
      <c r="Q51" s="1226"/>
      <c r="R51" s="1226">
        <f>SUM(R39:R50)</f>
        <v>2500.6999999999998</v>
      </c>
      <c r="S51" s="1226">
        <f>SUM(S39:S50)</f>
        <v>1979.8999999999999</v>
      </c>
      <c r="T51" s="1226"/>
      <c r="U51" s="850" t="s">
        <v>30</v>
      </c>
      <c r="V51" s="1234" t="s">
        <v>628</v>
      </c>
      <c r="W51" s="1238">
        <f>SUM(H45:H50,J39:J44)</f>
        <v>2688.2</v>
      </c>
      <c r="X51" s="1238">
        <f>SUM(I45:I50,K39:K44)</f>
        <v>2433.6999999999998</v>
      </c>
    </row>
    <row r="52" spans="1:24" ht="16.350000000000001" hidden="1" customHeight="1" x14ac:dyDescent="0.25">
      <c r="B52" s="1227"/>
      <c r="C52" s="1227"/>
      <c r="D52" s="1227"/>
      <c r="E52" s="1227"/>
      <c r="H52" s="1240"/>
      <c r="I52" s="1241"/>
      <c r="J52" s="1241"/>
      <c r="K52" s="1241"/>
      <c r="L52" s="1241"/>
      <c r="M52" s="1242"/>
      <c r="N52" s="1242"/>
      <c r="O52" s="1242"/>
      <c r="P52" s="1242"/>
      <c r="Q52" s="1242"/>
      <c r="R52" s="1242"/>
      <c r="S52" s="1242"/>
      <c r="T52" s="1242"/>
      <c r="U52" s="1241"/>
      <c r="V52" s="1234" t="s">
        <v>629</v>
      </c>
      <c r="W52" s="1235">
        <f>SUM(J45:J50,L39:L44)</f>
        <v>3441.8000000000006</v>
      </c>
      <c r="X52" s="1235">
        <f>SUM(K45:K50,M39:M44)</f>
        <v>2747.5000000000005</v>
      </c>
    </row>
    <row r="53" spans="1:24" ht="16.350000000000001" hidden="1" customHeight="1" x14ac:dyDescent="0.2">
      <c r="B53" s="1227"/>
      <c r="C53" s="1227"/>
      <c r="D53" s="1227"/>
      <c r="H53" s="1227"/>
      <c r="I53" s="1243"/>
      <c r="J53" s="1243"/>
      <c r="K53" s="1243"/>
      <c r="L53" s="1243"/>
      <c r="M53" s="1243"/>
      <c r="N53" s="1243"/>
      <c r="O53" s="1243"/>
      <c r="P53" s="1243"/>
      <c r="Q53" s="1243"/>
      <c r="R53" s="1243"/>
      <c r="S53" s="1243"/>
      <c r="T53" s="1243"/>
      <c r="U53" s="1243"/>
      <c r="V53" s="1234" t="s">
        <v>630</v>
      </c>
      <c r="W53" s="1235">
        <f>SUM(L45:L50,R39:R44)</f>
        <v>2417.2000000000003</v>
      </c>
      <c r="X53" s="1235">
        <f>SUM(M45:M50,S39:S44)</f>
        <v>1973.4999999999995</v>
      </c>
    </row>
    <row r="54" spans="1:24" ht="16.350000000000001" hidden="1" customHeight="1" x14ac:dyDescent="0.2">
      <c r="B54" s="1227"/>
      <c r="C54" s="1227"/>
      <c r="D54" s="1227"/>
      <c r="E54" s="1239"/>
      <c r="F54" s="1244"/>
      <c r="H54" s="1227"/>
      <c r="I54" s="1243"/>
      <c r="J54" s="1243"/>
      <c r="K54" s="1243"/>
      <c r="L54" s="1243"/>
      <c r="M54" s="1243"/>
      <c r="N54" s="1243"/>
      <c r="O54" s="1243"/>
      <c r="P54" s="1243"/>
      <c r="Q54" s="1243"/>
      <c r="R54" s="1243"/>
      <c r="S54" s="1243"/>
      <c r="T54" s="1243"/>
      <c r="U54" s="1243"/>
      <c r="V54" s="1243"/>
    </row>
    <row r="55" spans="1:24" ht="16.350000000000001" hidden="1" customHeight="1" x14ac:dyDescent="0.25">
      <c r="A55" s="850" t="s">
        <v>101</v>
      </c>
      <c r="B55" s="1228"/>
      <c r="C55" s="1228"/>
      <c r="D55" s="1228"/>
      <c r="E55" s="1228"/>
      <c r="F55" s="1228"/>
      <c r="G55" s="1228"/>
      <c r="H55" s="1228"/>
      <c r="I55" s="1228"/>
      <c r="K55" s="1228"/>
      <c r="L55" s="1228"/>
      <c r="M55" s="1228"/>
      <c r="N55" s="1228"/>
      <c r="O55" s="1228"/>
      <c r="P55" s="1228"/>
      <c r="Q55" s="1228"/>
      <c r="R55" s="1228"/>
      <c r="S55" s="1228"/>
      <c r="T55" s="1228"/>
      <c r="U55" s="1228"/>
      <c r="V55" s="1228"/>
    </row>
    <row r="56" spans="1:24" ht="16.350000000000001" hidden="1" customHeight="1" x14ac:dyDescent="0.25">
      <c r="A56" s="850"/>
      <c r="B56" s="1221" t="s">
        <v>95</v>
      </c>
      <c r="C56" s="1221" t="s">
        <v>96</v>
      </c>
      <c r="D56" s="1221" t="s">
        <v>97</v>
      </c>
      <c r="E56" s="1221" t="s">
        <v>98</v>
      </c>
      <c r="F56" s="1231" t="s">
        <v>236</v>
      </c>
      <c r="G56" s="1231" t="s">
        <v>237</v>
      </c>
      <c r="H56" s="1231" t="s">
        <v>357</v>
      </c>
      <c r="I56" s="1231" t="s">
        <v>358</v>
      </c>
      <c r="J56" s="1231" t="s">
        <v>400</v>
      </c>
      <c r="K56" s="1231" t="s">
        <v>401</v>
      </c>
      <c r="L56" s="1231" t="s">
        <v>455</v>
      </c>
      <c r="M56" s="1231" t="s">
        <v>456</v>
      </c>
      <c r="N56" s="1231"/>
      <c r="O56" s="1231"/>
      <c r="P56" s="1231"/>
      <c r="Q56" s="1231"/>
      <c r="R56" s="1231" t="s">
        <v>590</v>
      </c>
      <c r="S56" s="1231" t="s">
        <v>589</v>
      </c>
      <c r="T56" s="1280"/>
      <c r="U56" s="850"/>
      <c r="V56" s="1232"/>
      <c r="W56" s="1233" t="s">
        <v>99</v>
      </c>
      <c r="X56" s="1233" t="s">
        <v>100</v>
      </c>
    </row>
    <row r="57" spans="1:24" ht="16.350000000000001" hidden="1" customHeight="1" x14ac:dyDescent="0.25">
      <c r="A57" s="850" t="s">
        <v>54</v>
      </c>
      <c r="B57" s="1222">
        <v>10.52</v>
      </c>
      <c r="C57" s="1222">
        <v>4.7</v>
      </c>
      <c r="D57" s="1222">
        <v>148.38999999999999</v>
      </c>
      <c r="E57" s="1222">
        <v>139.80000000000001</v>
      </c>
      <c r="F57" s="1222">
        <v>93.4</v>
      </c>
      <c r="G57" s="1222">
        <v>79.7</v>
      </c>
      <c r="H57" s="1222">
        <v>54.3</v>
      </c>
      <c r="I57" s="1236">
        <v>55.2</v>
      </c>
      <c r="J57" s="1236">
        <v>122.8</v>
      </c>
      <c r="K57" s="1236">
        <v>131.9</v>
      </c>
      <c r="L57" s="1236">
        <v>101.4</v>
      </c>
      <c r="M57" s="1236">
        <v>0</v>
      </c>
      <c r="N57" s="1236"/>
      <c r="O57" s="1236"/>
      <c r="P57" s="1236"/>
      <c r="Q57" s="1236"/>
      <c r="R57" s="1236">
        <v>48.6</v>
      </c>
      <c r="S57" s="1236">
        <v>0</v>
      </c>
      <c r="T57" s="1236"/>
      <c r="U57" s="850" t="s">
        <v>54</v>
      </c>
      <c r="V57" s="1234" t="s">
        <v>616</v>
      </c>
      <c r="W57" s="1235">
        <f>SUM(B27:B32,D21:D26)</f>
        <v>3294.7999999999997</v>
      </c>
      <c r="X57" s="1235">
        <f>SUM(C27:C32,E21:E26)</f>
        <v>1066.2</v>
      </c>
    </row>
    <row r="58" spans="1:24" ht="16.350000000000001" hidden="1" customHeight="1" x14ac:dyDescent="0.25">
      <c r="A58" s="850" t="s">
        <v>55</v>
      </c>
      <c r="B58" s="1222">
        <v>12.81</v>
      </c>
      <c r="C58" s="1222">
        <v>3.5</v>
      </c>
      <c r="D58" s="1222">
        <v>69.83</v>
      </c>
      <c r="E58" s="1222">
        <v>69.599999999999994</v>
      </c>
      <c r="F58" s="1222">
        <v>62.3</v>
      </c>
      <c r="G58" s="1222">
        <v>57.8</v>
      </c>
      <c r="H58" s="1222">
        <v>73</v>
      </c>
      <c r="I58" s="1236">
        <v>107.8</v>
      </c>
      <c r="J58" s="1236">
        <v>74.5</v>
      </c>
      <c r="K58" s="1236">
        <v>80.3</v>
      </c>
      <c r="L58" s="1236">
        <v>85.4</v>
      </c>
      <c r="M58" s="1236">
        <v>11.2</v>
      </c>
      <c r="N58" s="1236"/>
      <c r="O58" s="1236"/>
      <c r="P58" s="1236"/>
      <c r="Q58" s="1236"/>
      <c r="R58" s="1236">
        <v>44.1</v>
      </c>
      <c r="S58" s="1236">
        <v>0</v>
      </c>
      <c r="T58" s="1236"/>
      <c r="U58" s="850" t="s">
        <v>55</v>
      </c>
      <c r="V58" s="1234" t="s">
        <v>617</v>
      </c>
      <c r="W58" s="1235" t="e">
        <f>SUM(D27:D32,#REF!)</f>
        <v>#REF!</v>
      </c>
      <c r="X58" s="1235" t="e">
        <f>SUM(E27:E32,#REF!)</f>
        <v>#REF!</v>
      </c>
    </row>
    <row r="59" spans="1:24" ht="16.350000000000001" hidden="1" customHeight="1" x14ac:dyDescent="0.25">
      <c r="A59" s="850" t="s">
        <v>58</v>
      </c>
      <c r="B59" s="1222">
        <v>10.26</v>
      </c>
      <c r="C59" s="1222">
        <v>2.5</v>
      </c>
      <c r="D59" s="1222">
        <v>58.19</v>
      </c>
      <c r="E59" s="1222">
        <v>57.7</v>
      </c>
      <c r="F59" s="1222">
        <v>30.4</v>
      </c>
      <c r="G59" s="1222">
        <v>30.4</v>
      </c>
      <c r="H59" s="1222">
        <v>186.2</v>
      </c>
      <c r="I59" s="1236">
        <v>195</v>
      </c>
      <c r="J59" s="1236">
        <v>46.5</v>
      </c>
      <c r="K59" s="1236">
        <v>56.7</v>
      </c>
      <c r="L59" s="1236">
        <v>106.6</v>
      </c>
      <c r="M59" s="1236">
        <v>61.3</v>
      </c>
      <c r="N59" s="1236"/>
      <c r="O59" s="1236"/>
      <c r="P59" s="1236"/>
      <c r="Q59" s="1236"/>
      <c r="R59" s="1236">
        <v>20.7</v>
      </c>
      <c r="S59" s="1236">
        <v>0</v>
      </c>
      <c r="T59" s="1236"/>
      <c r="U59" s="850" t="s">
        <v>58</v>
      </c>
      <c r="V59" s="1234" t="s">
        <v>618</v>
      </c>
      <c r="W59" s="1235" t="e">
        <f>SUM(#REF!,F21:F26)</f>
        <v>#REF!</v>
      </c>
      <c r="X59" s="1235">
        <v>0</v>
      </c>
    </row>
    <row r="60" spans="1:24" ht="16.350000000000001" hidden="1" customHeight="1" x14ac:dyDescent="0.25">
      <c r="A60" s="850" t="s">
        <v>61</v>
      </c>
      <c r="B60" s="1222">
        <v>17.32</v>
      </c>
      <c r="C60" s="1222">
        <v>4.7</v>
      </c>
      <c r="D60" s="1222">
        <v>65.62</v>
      </c>
      <c r="E60" s="1222">
        <v>65.5</v>
      </c>
      <c r="F60" s="1222">
        <v>56.5</v>
      </c>
      <c r="G60" s="1222">
        <v>0.3</v>
      </c>
      <c r="H60" s="1222">
        <v>178.4</v>
      </c>
      <c r="I60" s="1236">
        <v>190.2</v>
      </c>
      <c r="J60" s="1236">
        <v>84.2</v>
      </c>
      <c r="K60" s="1236">
        <v>102.1</v>
      </c>
      <c r="L60" s="1236">
        <v>161.1</v>
      </c>
      <c r="M60" s="1236">
        <v>87</v>
      </c>
      <c r="N60" s="1236"/>
      <c r="O60" s="1236"/>
      <c r="P60" s="1236"/>
      <c r="Q60" s="1236"/>
      <c r="R60" s="1236">
        <v>63.2</v>
      </c>
      <c r="S60" s="1236">
        <v>0</v>
      </c>
      <c r="T60" s="1236"/>
      <c r="U60" s="850" t="s">
        <v>61</v>
      </c>
      <c r="V60" s="1234" t="s">
        <v>619</v>
      </c>
      <c r="W60" s="1235">
        <f>SUM(F27:F32,H21:H26)</f>
        <v>2177.2999999999997</v>
      </c>
      <c r="X60" s="1235">
        <v>0</v>
      </c>
    </row>
    <row r="61" spans="1:24" ht="16.350000000000001" hidden="1" customHeight="1" x14ac:dyDescent="0.25">
      <c r="A61" s="850" t="s">
        <v>63</v>
      </c>
      <c r="B61" s="1222">
        <v>54.59</v>
      </c>
      <c r="C61" s="1222">
        <v>0</v>
      </c>
      <c r="D61" s="1222">
        <v>187.14</v>
      </c>
      <c r="E61" s="1222">
        <v>181.1</v>
      </c>
      <c r="F61" s="1222">
        <v>171</v>
      </c>
      <c r="G61" s="1222">
        <v>169.1</v>
      </c>
      <c r="H61" s="1222">
        <v>213.1</v>
      </c>
      <c r="I61" s="1236">
        <v>220.9</v>
      </c>
      <c r="J61" s="1236">
        <v>112.9</v>
      </c>
      <c r="K61" s="1236">
        <v>128.9</v>
      </c>
      <c r="L61" s="1236">
        <v>271.5</v>
      </c>
      <c r="M61" s="1236">
        <v>143.19999999999999</v>
      </c>
      <c r="N61" s="1236"/>
      <c r="O61" s="1236"/>
      <c r="P61" s="1236"/>
      <c r="Q61" s="1236"/>
      <c r="R61" s="1236">
        <v>188.7</v>
      </c>
      <c r="S61" s="1236">
        <v>0</v>
      </c>
      <c r="T61" s="1236"/>
      <c r="U61" s="850" t="s">
        <v>63</v>
      </c>
      <c r="V61" s="1234" t="s">
        <v>620</v>
      </c>
      <c r="W61" s="1235">
        <f>SUM(H27:H32,J21:J26)</f>
        <v>1672</v>
      </c>
      <c r="X61" s="1235">
        <f>SUM(I27:I32,K21:K26)</f>
        <v>197.3</v>
      </c>
    </row>
    <row r="62" spans="1:24" ht="16.350000000000001" hidden="1" customHeight="1" x14ac:dyDescent="0.25">
      <c r="A62" s="850" t="s">
        <v>57</v>
      </c>
      <c r="B62" s="1222">
        <v>90.15</v>
      </c>
      <c r="C62" s="1222">
        <v>0</v>
      </c>
      <c r="D62" s="1222">
        <v>187.14</v>
      </c>
      <c r="E62" s="1222">
        <v>173.3</v>
      </c>
      <c r="F62" s="1222">
        <v>185.3</v>
      </c>
      <c r="G62" s="1222">
        <v>181.7</v>
      </c>
      <c r="H62" s="1222">
        <v>240.8</v>
      </c>
      <c r="I62" s="1236">
        <v>259</v>
      </c>
      <c r="J62" s="1236">
        <v>153.69999999999999</v>
      </c>
      <c r="K62" s="1236">
        <v>174.5</v>
      </c>
      <c r="L62" s="1236">
        <v>242.1</v>
      </c>
      <c r="M62" s="1236">
        <v>90</v>
      </c>
      <c r="N62" s="1236"/>
      <c r="O62" s="1236"/>
      <c r="P62" s="1236"/>
      <c r="Q62" s="1236"/>
      <c r="R62" s="1236">
        <v>212.8</v>
      </c>
      <c r="S62" s="1236">
        <v>0</v>
      </c>
      <c r="T62" s="1236"/>
      <c r="U62" s="850" t="s">
        <v>57</v>
      </c>
      <c r="V62" s="1234" t="s">
        <v>621</v>
      </c>
      <c r="W62" s="1235">
        <f>SUM(J27:J32,L21:L26)</f>
        <v>1751.2000000000003</v>
      </c>
      <c r="X62" s="1235">
        <f>SUM(K27:K32,M21:M26)</f>
        <v>569.70000000000016</v>
      </c>
    </row>
    <row r="63" spans="1:24" ht="16.350000000000001" hidden="1" customHeight="1" x14ac:dyDescent="0.25">
      <c r="A63" s="850" t="s">
        <v>60</v>
      </c>
      <c r="B63" s="1222">
        <v>209.15</v>
      </c>
      <c r="C63" s="1222">
        <v>0</v>
      </c>
      <c r="D63" s="1222">
        <v>203.87</v>
      </c>
      <c r="E63" s="1222">
        <v>177.3</v>
      </c>
      <c r="F63" s="1222">
        <v>196.9</v>
      </c>
      <c r="G63" s="1222">
        <v>192.6</v>
      </c>
      <c r="H63" s="1222">
        <v>236.5</v>
      </c>
      <c r="I63" s="1236">
        <v>252.7</v>
      </c>
      <c r="J63" s="1236">
        <v>185.6</v>
      </c>
      <c r="K63" s="1236">
        <v>16.399999999999999</v>
      </c>
      <c r="L63" s="1236">
        <v>236</v>
      </c>
      <c r="M63" s="1236">
        <v>63</v>
      </c>
      <c r="N63" s="1236"/>
      <c r="O63" s="1236"/>
      <c r="P63" s="1236"/>
      <c r="Q63" s="1236"/>
      <c r="R63" s="1236">
        <v>247.3</v>
      </c>
      <c r="S63" s="1236">
        <v>39.1</v>
      </c>
      <c r="T63" s="1236"/>
      <c r="U63" s="850" t="s">
        <v>60</v>
      </c>
      <c r="V63" s="1234" t="s">
        <v>622</v>
      </c>
      <c r="W63" s="1235">
        <f>SUM(L27:L32,R21:R26)</f>
        <v>1883.2800000000002</v>
      </c>
      <c r="X63" s="1235">
        <f>SUM(M27:M32,S21:S26)</f>
        <v>11.19</v>
      </c>
    </row>
    <row r="64" spans="1:24" ht="16.350000000000001" hidden="1" customHeight="1" x14ac:dyDescent="0.25">
      <c r="A64" s="850" t="s">
        <v>62</v>
      </c>
      <c r="B64" s="1222">
        <v>216.52</v>
      </c>
      <c r="C64" s="1222">
        <v>91.3</v>
      </c>
      <c r="D64" s="1222">
        <v>212.19</v>
      </c>
      <c r="E64" s="1222">
        <v>186.5</v>
      </c>
      <c r="F64" s="1222">
        <v>231.1</v>
      </c>
      <c r="G64" s="1222">
        <v>228.8</v>
      </c>
      <c r="H64" s="1222">
        <v>253.2</v>
      </c>
      <c r="I64" s="1236">
        <v>264.8</v>
      </c>
      <c r="J64" s="1236">
        <v>262.7</v>
      </c>
      <c r="K64" s="1236">
        <v>21.1</v>
      </c>
      <c r="L64" s="1236">
        <v>233.3</v>
      </c>
      <c r="M64" s="1236">
        <v>64.599999999999994</v>
      </c>
      <c r="N64" s="1236"/>
      <c r="O64" s="1236"/>
      <c r="P64" s="1236"/>
      <c r="Q64" s="1236"/>
      <c r="R64" s="1236">
        <v>233</v>
      </c>
      <c r="S64" s="1236">
        <v>33.1</v>
      </c>
      <c r="T64" s="1236"/>
      <c r="U64" s="850" t="s">
        <v>62</v>
      </c>
      <c r="V64" s="1234" t="s">
        <v>623</v>
      </c>
      <c r="W64" s="1235">
        <f>SUM(R27:R32,B57:B62)</f>
        <v>1305.6399999999999</v>
      </c>
      <c r="X64" s="1235">
        <f>SUM(S27:S32,C57:C62)</f>
        <v>190.5</v>
      </c>
    </row>
    <row r="65" spans="1:55" ht="16.350000000000001" hidden="1" customHeight="1" x14ac:dyDescent="0.25">
      <c r="A65" s="850" t="s">
        <v>64</v>
      </c>
      <c r="B65" s="1222">
        <v>184.77</v>
      </c>
      <c r="C65" s="1222">
        <v>75.400000000000006</v>
      </c>
      <c r="D65" s="1222">
        <v>199.34</v>
      </c>
      <c r="E65" s="1222">
        <v>182.8</v>
      </c>
      <c r="F65" s="1222">
        <v>242.9</v>
      </c>
      <c r="G65" s="1222">
        <v>223.2</v>
      </c>
      <c r="H65" s="1222">
        <v>293.89999999999998</v>
      </c>
      <c r="I65" s="1236">
        <v>228.9</v>
      </c>
      <c r="J65" s="1236">
        <v>279.89999999999998</v>
      </c>
      <c r="K65" s="1236">
        <v>9.5</v>
      </c>
      <c r="L65" s="1236">
        <v>361.3</v>
      </c>
      <c r="M65" s="1236">
        <v>67</v>
      </c>
      <c r="N65" s="1236"/>
      <c r="O65" s="1236"/>
      <c r="P65" s="1236"/>
      <c r="Q65" s="1236"/>
      <c r="R65" s="1236">
        <v>299.2</v>
      </c>
      <c r="S65" s="1236">
        <v>29.5</v>
      </c>
      <c r="T65" s="1236"/>
      <c r="U65" s="850" t="s">
        <v>64</v>
      </c>
      <c r="V65" s="1234" t="s">
        <v>624</v>
      </c>
      <c r="W65" s="1235">
        <f>SUM(B63:B68,D57:D62)</f>
        <v>1771.4399999999996</v>
      </c>
      <c r="X65" s="1235">
        <f>SUM(C63:C68,E57:E62)</f>
        <v>1113.4000000000001</v>
      </c>
    </row>
    <row r="66" spans="1:55" ht="16.350000000000001" hidden="1" customHeight="1" x14ac:dyDescent="0.25">
      <c r="A66" s="850" t="s">
        <v>66</v>
      </c>
      <c r="B66" s="1222">
        <v>193.86</v>
      </c>
      <c r="C66" s="1222">
        <v>77</v>
      </c>
      <c r="D66" s="1222">
        <v>243.63</v>
      </c>
      <c r="E66" s="1222">
        <v>200.4</v>
      </c>
      <c r="F66" s="1222">
        <v>214.2</v>
      </c>
      <c r="G66" s="1222">
        <v>194</v>
      </c>
      <c r="H66" s="1222">
        <v>243.7</v>
      </c>
      <c r="I66" s="1236">
        <v>0</v>
      </c>
      <c r="J66" s="1236">
        <v>249.6</v>
      </c>
      <c r="K66" s="1236">
        <v>12.8</v>
      </c>
      <c r="L66" s="1236">
        <v>190.6</v>
      </c>
      <c r="M66" s="1236">
        <v>4.8</v>
      </c>
      <c r="N66" s="1236"/>
      <c r="O66" s="1236"/>
      <c r="P66" s="1236"/>
      <c r="Q66" s="1236"/>
      <c r="R66" s="1236">
        <v>216.9</v>
      </c>
      <c r="S66" s="1236">
        <v>40.5</v>
      </c>
      <c r="T66" s="1236"/>
      <c r="U66" s="850" t="s">
        <v>66</v>
      </c>
      <c r="V66" s="1234" t="s">
        <v>625</v>
      </c>
      <c r="W66" s="1235" t="e">
        <f>SUM(D63:D68,#REF!)</f>
        <v>#REF!</v>
      </c>
      <c r="X66" s="1235" t="e">
        <f>SUM(E63:E68,#REF!)</f>
        <v>#REF!</v>
      </c>
    </row>
    <row r="67" spans="1:55" ht="16.350000000000001" hidden="1" customHeight="1" x14ac:dyDescent="0.25">
      <c r="A67" s="850" t="s">
        <v>56</v>
      </c>
      <c r="B67" s="1222">
        <v>127.92</v>
      </c>
      <c r="C67" s="1222">
        <v>65.5</v>
      </c>
      <c r="D67" s="1222">
        <v>107.41</v>
      </c>
      <c r="E67" s="1222">
        <v>75.3</v>
      </c>
      <c r="F67" s="1222">
        <v>104.8</v>
      </c>
      <c r="G67" s="1222">
        <v>38.9</v>
      </c>
      <c r="H67" s="1222">
        <v>158.30000000000001</v>
      </c>
      <c r="I67" s="1236">
        <v>113.7</v>
      </c>
      <c r="J67" s="1236">
        <v>135.9</v>
      </c>
      <c r="K67" s="1236">
        <v>30.4</v>
      </c>
      <c r="L67" s="1236">
        <v>61.9</v>
      </c>
      <c r="M67" s="1236">
        <v>7.5</v>
      </c>
      <c r="N67" s="1236"/>
      <c r="O67" s="1236"/>
      <c r="P67" s="1236"/>
      <c r="Q67" s="1236"/>
      <c r="R67" s="1236">
        <v>156.6</v>
      </c>
      <c r="S67" s="1236">
        <v>46.2</v>
      </c>
      <c r="T67" s="1236"/>
      <c r="U67" s="850" t="s">
        <v>56</v>
      </c>
      <c r="V67" s="1234" t="s">
        <v>626</v>
      </c>
      <c r="W67" s="1235" t="e">
        <f>SUM(#REF!,F57:F62)</f>
        <v>#REF!</v>
      </c>
      <c r="X67" s="1235" t="e">
        <f>SUM(#REF!,G57:G62)</f>
        <v>#REF!</v>
      </c>
    </row>
    <row r="68" spans="1:55" ht="16.350000000000001" hidden="1" customHeight="1" x14ac:dyDescent="0.25">
      <c r="A68" s="850" t="s">
        <v>59</v>
      </c>
      <c r="B68" s="1224">
        <v>122.91</v>
      </c>
      <c r="C68" s="1224">
        <v>117.2</v>
      </c>
      <c r="D68" s="1224">
        <v>182.89</v>
      </c>
      <c r="E68" s="1224">
        <v>78.900000000000006</v>
      </c>
      <c r="F68" s="1224">
        <v>77.5</v>
      </c>
      <c r="G68" s="1224">
        <v>27.6</v>
      </c>
      <c r="H68" s="1224">
        <v>98.3</v>
      </c>
      <c r="I68" s="1039">
        <v>37.5</v>
      </c>
      <c r="J68" s="1039">
        <v>238.6</v>
      </c>
      <c r="K68" s="1039">
        <v>43.1</v>
      </c>
      <c r="L68" s="1039">
        <v>111.7</v>
      </c>
      <c r="M68" s="1039">
        <v>67.3</v>
      </c>
      <c r="N68" s="1039"/>
      <c r="O68" s="1039"/>
      <c r="P68" s="1039"/>
      <c r="Q68" s="1039"/>
      <c r="R68" s="1039">
        <v>141.69999999999999</v>
      </c>
      <c r="S68" s="1039">
        <v>0</v>
      </c>
      <c r="T68" s="1035"/>
      <c r="U68" s="850" t="s">
        <v>59</v>
      </c>
      <c r="V68" s="1234" t="s">
        <v>627</v>
      </c>
      <c r="W68" s="1235">
        <f>SUM(F63:F68,H57:H62)</f>
        <v>2013.1999999999998</v>
      </c>
      <c r="X68" s="1235">
        <f>SUM(G63:G68,I57:I58)</f>
        <v>1068.0999999999999</v>
      </c>
    </row>
    <row r="69" spans="1:55" ht="16.350000000000001" hidden="1" customHeight="1" x14ac:dyDescent="0.25">
      <c r="A69" s="850" t="s">
        <v>30</v>
      </c>
      <c r="B69" s="1226">
        <f>SUM(B57:B68)</f>
        <v>1250.7800000000002</v>
      </c>
      <c r="C69" s="1226">
        <f>SUM(C57:C68)</f>
        <v>441.8</v>
      </c>
      <c r="D69" s="1226">
        <f>SUM(D57:D68)</f>
        <v>1865.6399999999999</v>
      </c>
      <c r="E69" s="1226">
        <f t="shared" ref="E69:H69" si="3">SUM(E57:E68)</f>
        <v>1588.2</v>
      </c>
      <c r="F69" s="1226">
        <f t="shared" si="3"/>
        <v>1666.3000000000002</v>
      </c>
      <c r="G69" s="1226">
        <f t="shared" si="3"/>
        <v>1424.1000000000001</v>
      </c>
      <c r="H69" s="1226">
        <f t="shared" si="3"/>
        <v>2229.7000000000003</v>
      </c>
      <c r="I69" s="1226">
        <f>SUM(I57:I58,I63:I66)</f>
        <v>909.4</v>
      </c>
      <c r="J69" s="1226">
        <f>SUM(J57:J68)</f>
        <v>1946.8999999999996</v>
      </c>
      <c r="K69" s="1226">
        <v>1196.5</v>
      </c>
      <c r="L69" s="1226">
        <f>SUM(L57:L68)</f>
        <v>2162.8999999999996</v>
      </c>
      <c r="M69" s="1226">
        <f>SUM(M57:M68)</f>
        <v>666.89999999999986</v>
      </c>
      <c r="N69" s="1226"/>
      <c r="O69" s="1226"/>
      <c r="P69" s="1226"/>
      <c r="Q69" s="1226"/>
      <c r="R69" s="1226">
        <f>SUM(R57:R68)</f>
        <v>1872.8000000000002</v>
      </c>
      <c r="S69" s="1226">
        <f>SUM(S57:S68)</f>
        <v>188.39999999999998</v>
      </c>
      <c r="T69" s="1226"/>
      <c r="U69" s="1226"/>
      <c r="V69" s="1234" t="s">
        <v>628</v>
      </c>
      <c r="W69" s="1235">
        <f>SUM(H63:H68,J57:J62)</f>
        <v>1878.5</v>
      </c>
      <c r="X69" s="1235">
        <f>SUM(I63:I68,K57:K62)</f>
        <v>1572</v>
      </c>
    </row>
    <row r="70" spans="1:55" ht="16.350000000000001" hidden="1" customHeight="1" x14ac:dyDescent="0.25">
      <c r="H70" s="1222"/>
      <c r="I70" s="1245"/>
      <c r="J70" s="1245"/>
      <c r="K70" s="1246"/>
      <c r="L70" s="1246"/>
      <c r="M70" s="1246"/>
      <c r="N70" s="1246"/>
      <c r="O70" s="1246"/>
      <c r="P70" s="1246"/>
      <c r="Q70" s="1246"/>
      <c r="R70" s="1246"/>
      <c r="S70" s="1246"/>
      <c r="T70" s="1246"/>
      <c r="V70" s="1234" t="s">
        <v>629</v>
      </c>
      <c r="W70" s="1235">
        <f>SUM(J63:J68,L57:L62)</f>
        <v>2320.4</v>
      </c>
      <c r="X70" s="1235">
        <f>SUM(K63:K68,M57:M62)</f>
        <v>526</v>
      </c>
    </row>
    <row r="71" spans="1:55" ht="16.350000000000001" hidden="1" customHeight="1" x14ac:dyDescent="0.25">
      <c r="F71" s="1244"/>
      <c r="G71" s="1240"/>
      <c r="I71" s="1241"/>
      <c r="J71" s="1241"/>
      <c r="K71" s="1241"/>
      <c r="L71" s="1241"/>
      <c r="M71" s="1241"/>
      <c r="N71" s="1241"/>
      <c r="O71" s="1241"/>
      <c r="P71" s="1241"/>
      <c r="Q71" s="1241"/>
      <c r="R71" s="1241"/>
      <c r="S71" s="1241"/>
      <c r="T71" s="1241"/>
      <c r="U71" s="1242"/>
      <c r="V71" s="1234" t="s">
        <v>630</v>
      </c>
      <c r="W71" s="1235">
        <f>SUM(L63:L68,R57:R62)</f>
        <v>1772.9</v>
      </c>
      <c r="X71" s="1235">
        <f>SUM(M63:M68,S57:S62)</f>
        <v>274.2</v>
      </c>
    </row>
    <row r="72" spans="1:55" ht="16.350000000000001" hidden="1" customHeight="1" x14ac:dyDescent="0.25">
      <c r="B72" s="1230"/>
      <c r="C72" s="1230"/>
      <c r="D72" s="1230"/>
      <c r="E72" s="1230"/>
      <c r="G72" s="1230"/>
      <c r="H72" s="1247"/>
      <c r="I72" s="1230"/>
      <c r="J72" s="1230"/>
      <c r="K72" s="1230"/>
      <c r="L72" s="1230"/>
      <c r="M72" s="1230"/>
      <c r="N72" s="1230"/>
      <c r="O72" s="1230"/>
      <c r="P72" s="1230"/>
      <c r="Q72" s="1230"/>
      <c r="R72" s="1230"/>
      <c r="S72" s="1230"/>
      <c r="T72" s="1230"/>
      <c r="U72" s="1230"/>
      <c r="V72" s="1230"/>
      <c r="W72" s="1230"/>
    </row>
    <row r="73" spans="1:55" ht="16.350000000000001" hidden="1" customHeight="1" x14ac:dyDescent="0.25">
      <c r="A73" s="1230"/>
      <c r="B73" s="1230"/>
      <c r="C73" s="1230"/>
      <c r="D73" s="1230"/>
      <c r="E73" s="1230"/>
      <c r="F73" s="1230"/>
      <c r="G73" s="1230"/>
      <c r="H73" s="1230"/>
      <c r="I73" s="1230"/>
      <c r="J73" s="1230"/>
      <c r="K73" s="1230"/>
      <c r="L73" s="1230"/>
      <c r="M73" s="1230"/>
      <c r="N73" s="1230"/>
      <c r="O73" s="1230"/>
      <c r="P73" s="1230"/>
      <c r="Q73" s="1230"/>
      <c r="R73" s="1230"/>
      <c r="S73" s="1230"/>
      <c r="T73" s="1230"/>
      <c r="U73" s="1230"/>
      <c r="V73" s="1230"/>
      <c r="W73" s="1230"/>
    </row>
    <row r="74" spans="1:55" ht="15.75" customHeight="1" thickBot="1" x14ac:dyDescent="0.25">
      <c r="AY74" s="1219"/>
      <c r="AZ74" s="1220"/>
      <c r="BA74" s="1220"/>
      <c r="BB74" s="1218"/>
      <c r="BC74" s="1218"/>
    </row>
    <row r="75" spans="1:55" ht="32.25" customHeight="1" x14ac:dyDescent="0.2">
      <c r="A75" s="1704" t="s">
        <v>33</v>
      </c>
      <c r="B75" s="1705"/>
      <c r="C75" s="1705"/>
      <c r="D75" s="1705"/>
      <c r="E75" s="1705"/>
      <c r="F75" s="1705"/>
      <c r="G75" s="1705"/>
      <c r="H75" s="1705"/>
      <c r="I75" s="1705"/>
      <c r="J75" s="1705"/>
      <c r="K75" s="1705"/>
      <c r="L75" s="1705"/>
      <c r="M75" s="1705"/>
      <c r="N75" s="1705"/>
      <c r="O75" s="1705"/>
      <c r="P75" s="1705"/>
      <c r="Q75" s="1705"/>
      <c r="R75" s="1705"/>
      <c r="S75" s="1705"/>
      <c r="T75" s="1705"/>
      <c r="U75" s="1706"/>
      <c r="AY75" s="1219"/>
      <c r="AZ75" s="1220"/>
      <c r="BA75" s="1220"/>
      <c r="BB75" s="1218"/>
      <c r="BC75" s="1218"/>
    </row>
    <row r="76" spans="1:55" ht="16.350000000000001" customHeight="1" x14ac:dyDescent="0.25">
      <c r="A76" s="1306"/>
      <c r="B76" s="1231" t="s">
        <v>614</v>
      </c>
      <c r="C76" s="1231" t="s">
        <v>615</v>
      </c>
      <c r="D76" s="1231" t="s">
        <v>702</v>
      </c>
      <c r="E76" s="1231" t="s">
        <v>703</v>
      </c>
      <c r="F76" s="1231" t="s">
        <v>810</v>
      </c>
      <c r="G76" s="1231" t="s">
        <v>809</v>
      </c>
      <c r="H76" s="1231" t="s">
        <v>855</v>
      </c>
      <c r="I76" s="1231" t="s">
        <v>856</v>
      </c>
      <c r="J76" s="1231" t="s">
        <v>857</v>
      </c>
      <c r="K76" s="1231" t="s">
        <v>1027</v>
      </c>
      <c r="L76" s="1231" t="s">
        <v>1028</v>
      </c>
      <c r="M76" s="1231" t="s">
        <v>1115</v>
      </c>
      <c r="N76" s="1231" t="s">
        <v>1159</v>
      </c>
      <c r="O76" s="1231" t="s">
        <v>1192</v>
      </c>
      <c r="P76" s="1231" t="s">
        <v>1232</v>
      </c>
      <c r="Q76" s="1231" t="s">
        <v>1272</v>
      </c>
      <c r="R76" s="1221" t="s">
        <v>80</v>
      </c>
      <c r="S76" s="1307"/>
      <c r="T76" s="1149" t="s">
        <v>99</v>
      </c>
      <c r="U76" s="1308" t="s">
        <v>100</v>
      </c>
      <c r="AX76" s="1219"/>
      <c r="AY76" s="1220"/>
      <c r="AZ76" s="1220"/>
      <c r="BA76" s="1218"/>
      <c r="BB76" s="1218"/>
      <c r="BC76" s="1218"/>
    </row>
    <row r="77" spans="1:55" ht="16.350000000000001" customHeight="1" x14ac:dyDescent="0.25">
      <c r="A77" s="1309" t="s">
        <v>54</v>
      </c>
      <c r="B77" s="1278">
        <v>120.7</v>
      </c>
      <c r="C77" s="1278">
        <v>112.4</v>
      </c>
      <c r="D77" s="1278">
        <v>302.10000000000002</v>
      </c>
      <c r="E77" s="1278">
        <v>225.2</v>
      </c>
      <c r="F77" s="1278">
        <v>115.3</v>
      </c>
      <c r="G77" s="1278">
        <v>0</v>
      </c>
      <c r="H77" s="1278">
        <v>104.2</v>
      </c>
      <c r="I77" s="1278">
        <v>59.8</v>
      </c>
      <c r="J77" s="1278">
        <v>185</v>
      </c>
      <c r="K77" s="1278">
        <v>91.9</v>
      </c>
      <c r="L77" s="1278">
        <v>213.8</v>
      </c>
      <c r="M77" s="1278">
        <v>101.69</v>
      </c>
      <c r="N77" s="1278">
        <v>94.2</v>
      </c>
      <c r="O77" s="1278">
        <v>16.8</v>
      </c>
      <c r="P77" s="1278">
        <v>101.3</v>
      </c>
      <c r="Q77" s="1278">
        <v>67.599999999999994</v>
      </c>
      <c r="R77" s="1310" t="s">
        <v>54</v>
      </c>
      <c r="S77" s="1149" t="s">
        <v>1064</v>
      </c>
      <c r="T77" s="1311">
        <f>SUM(R45:R50,B77:B82)</f>
        <v>2542</v>
      </c>
      <c r="U77" s="1312">
        <f>SUM(S45:S50,C77:C82)</f>
        <v>2036.2</v>
      </c>
      <c r="AX77" s="1219"/>
      <c r="AY77" s="1220"/>
      <c r="AZ77" s="1220"/>
      <c r="BA77" s="1218"/>
      <c r="BB77" s="1218"/>
      <c r="BC77" s="1218"/>
    </row>
    <row r="78" spans="1:55" ht="16.350000000000001" customHeight="1" x14ac:dyDescent="0.25">
      <c r="A78" s="1309" t="s">
        <v>55</v>
      </c>
      <c r="B78" s="1278">
        <v>202.1</v>
      </c>
      <c r="C78" s="1278">
        <v>184.3</v>
      </c>
      <c r="D78" s="1278">
        <v>139.5</v>
      </c>
      <c r="E78" s="1278">
        <v>80.099999999999994</v>
      </c>
      <c r="F78" s="1278">
        <v>61.3</v>
      </c>
      <c r="G78" s="1278">
        <v>0</v>
      </c>
      <c r="H78" s="1278">
        <v>34</v>
      </c>
      <c r="I78" s="1278">
        <v>133.30000000000001</v>
      </c>
      <c r="J78" s="1278">
        <v>142.69999999999999</v>
      </c>
      <c r="K78" s="1278">
        <v>148.4</v>
      </c>
      <c r="L78" s="1278">
        <v>234</v>
      </c>
      <c r="M78" s="1278">
        <v>100.1</v>
      </c>
      <c r="N78" s="1278">
        <v>86.4</v>
      </c>
      <c r="O78" s="1278">
        <v>19.399999999999999</v>
      </c>
      <c r="P78" s="1278">
        <v>164.3</v>
      </c>
      <c r="Q78" s="1278">
        <v>14.8</v>
      </c>
      <c r="R78" s="1310" t="s">
        <v>55</v>
      </c>
      <c r="S78" s="1149" t="s">
        <v>1065</v>
      </c>
      <c r="T78" s="1311">
        <f>SUM(B83:B88,D77:D82)</f>
        <v>3389.9000000000005</v>
      </c>
      <c r="U78" s="1312">
        <f>SUM(C83:C88,E77:E82)</f>
        <v>2967.2999999999997</v>
      </c>
      <c r="AX78" s="1219"/>
      <c r="AY78" s="1220"/>
      <c r="AZ78" s="1220"/>
      <c r="BA78" s="1218"/>
      <c r="BB78" s="1218"/>
      <c r="BC78" s="1218"/>
    </row>
    <row r="79" spans="1:55" ht="16.350000000000001" customHeight="1" x14ac:dyDescent="0.25">
      <c r="A79" s="1309" t="s">
        <v>58</v>
      </c>
      <c r="B79" s="1035">
        <v>68.5</v>
      </c>
      <c r="C79" s="1035">
        <v>33.700000000000003</v>
      </c>
      <c r="D79" s="1035">
        <v>134.80000000000001</v>
      </c>
      <c r="E79" s="1035">
        <v>111.2</v>
      </c>
      <c r="F79" s="1035">
        <v>67.900000000000006</v>
      </c>
      <c r="G79" s="1035">
        <v>0</v>
      </c>
      <c r="H79" s="1035">
        <v>27.5</v>
      </c>
      <c r="I79" s="1035">
        <v>50.4</v>
      </c>
      <c r="J79" s="1035">
        <v>146</v>
      </c>
      <c r="K79" s="1035">
        <v>161.69999999999999</v>
      </c>
      <c r="L79" s="1035">
        <v>106.6</v>
      </c>
      <c r="M79" s="1035">
        <v>98.1</v>
      </c>
      <c r="N79" s="1035">
        <v>65</v>
      </c>
      <c r="O79" s="1035">
        <v>46</v>
      </c>
      <c r="P79" s="1035">
        <v>47.7</v>
      </c>
      <c r="Q79" s="1035">
        <v>22.5</v>
      </c>
      <c r="R79" s="1310" t="s">
        <v>58</v>
      </c>
      <c r="S79" s="1149" t="s">
        <v>1066</v>
      </c>
      <c r="T79" s="1311" t="e">
        <f>SUM(D83:D88,#REF!)</f>
        <v>#REF!</v>
      </c>
      <c r="U79" s="1312" t="e">
        <f>SUM(E83:E88,#REF!)</f>
        <v>#REF!</v>
      </c>
      <c r="AX79" s="1219"/>
      <c r="AY79" s="1220"/>
      <c r="AZ79" s="1220"/>
      <c r="BA79" s="1218"/>
      <c r="BB79" s="1218"/>
      <c r="BC79" s="1218"/>
    </row>
    <row r="80" spans="1:55" ht="16.350000000000001" customHeight="1" x14ac:dyDescent="0.25">
      <c r="A80" s="1309" t="s">
        <v>61</v>
      </c>
      <c r="B80" s="1035">
        <v>44.9</v>
      </c>
      <c r="C80" s="1035">
        <v>27.7</v>
      </c>
      <c r="D80" s="1035">
        <v>251.8</v>
      </c>
      <c r="E80" s="1035">
        <v>267.10000000000002</v>
      </c>
      <c r="F80" s="1035">
        <v>226.6</v>
      </c>
      <c r="G80" s="1035">
        <v>0</v>
      </c>
      <c r="H80" s="1035">
        <v>127.1</v>
      </c>
      <c r="I80" s="1035">
        <v>105.7</v>
      </c>
      <c r="J80" s="1035">
        <v>61.5</v>
      </c>
      <c r="K80" s="1035">
        <v>199.5</v>
      </c>
      <c r="L80" s="1035">
        <v>180.5</v>
      </c>
      <c r="M80" s="1035">
        <v>171.7</v>
      </c>
      <c r="N80" s="1035">
        <v>112.8</v>
      </c>
      <c r="O80" s="1035">
        <v>123.1</v>
      </c>
      <c r="P80" s="1035">
        <v>83.3</v>
      </c>
      <c r="Q80" s="1035">
        <v>128.30000000000001</v>
      </c>
      <c r="R80" s="1310" t="s">
        <v>61</v>
      </c>
      <c r="S80" s="1149" t="s">
        <v>1067</v>
      </c>
      <c r="T80" s="1311" t="e">
        <f>SUM(#REF!,F77:F82)</f>
        <v>#REF!</v>
      </c>
      <c r="U80" s="1312" t="e">
        <f>SUM(#REF!,G77:G82)</f>
        <v>#REF!</v>
      </c>
      <c r="AX80" s="1219"/>
      <c r="AY80" s="1220"/>
      <c r="AZ80" s="1220"/>
      <c r="BA80" s="1218"/>
      <c r="BB80" s="1218"/>
      <c r="BC80" s="1218"/>
    </row>
    <row r="81" spans="1:55" ht="16.350000000000001" customHeight="1" x14ac:dyDescent="0.25">
      <c r="A81" s="1309" t="s">
        <v>63</v>
      </c>
      <c r="B81" s="1035">
        <v>156</v>
      </c>
      <c r="C81" s="1035">
        <v>157.69999999999999</v>
      </c>
      <c r="D81" s="1035">
        <v>277.60000000000002</v>
      </c>
      <c r="E81" s="1035">
        <v>288.2</v>
      </c>
      <c r="F81" s="1035">
        <v>288.10000000000002</v>
      </c>
      <c r="G81" s="1035">
        <v>0</v>
      </c>
      <c r="H81" s="1035">
        <v>177.2</v>
      </c>
      <c r="I81" s="1035">
        <v>200.4</v>
      </c>
      <c r="J81" s="1035">
        <v>173.8</v>
      </c>
      <c r="K81" s="1035">
        <v>235.5</v>
      </c>
      <c r="L81" s="1035">
        <v>280.10000000000002</v>
      </c>
      <c r="M81" s="1035">
        <v>193.4</v>
      </c>
      <c r="N81" s="1035">
        <v>135</v>
      </c>
      <c r="O81" s="1035">
        <v>183.1</v>
      </c>
      <c r="P81" s="1035">
        <v>155.19999999999999</v>
      </c>
      <c r="Q81" s="1035">
        <v>169.7</v>
      </c>
      <c r="R81" s="1310" t="s">
        <v>63</v>
      </c>
      <c r="S81" s="1149" t="s">
        <v>1068</v>
      </c>
      <c r="T81" s="1313">
        <f>SUM(F83:F88,H77:H82)</f>
        <v>2607.1</v>
      </c>
      <c r="U81" s="1314"/>
      <c r="AX81" s="1219"/>
      <c r="AY81" s="1220"/>
      <c r="AZ81" s="1220"/>
      <c r="BA81" s="1218"/>
      <c r="BB81" s="1218"/>
      <c r="BC81" s="1218"/>
    </row>
    <row r="82" spans="1:55" ht="16.350000000000001" customHeight="1" x14ac:dyDescent="0.25">
      <c r="A82" s="1309" t="s">
        <v>57</v>
      </c>
      <c r="B82" s="1035">
        <v>202</v>
      </c>
      <c r="C82" s="1035">
        <v>219.6</v>
      </c>
      <c r="D82" s="1035">
        <v>341.9</v>
      </c>
      <c r="E82" s="1035">
        <v>351.8</v>
      </c>
      <c r="F82" s="1035">
        <v>257.5</v>
      </c>
      <c r="G82" s="1035">
        <v>0</v>
      </c>
      <c r="H82" s="1035">
        <v>281.5</v>
      </c>
      <c r="I82" s="1035">
        <v>246.2</v>
      </c>
      <c r="J82" s="1035">
        <v>289.10000000000002</v>
      </c>
      <c r="K82" s="1035">
        <v>319.39999999999998</v>
      </c>
      <c r="L82" s="1035">
        <v>234.4</v>
      </c>
      <c r="M82" s="1035">
        <v>176.9</v>
      </c>
      <c r="N82" s="1035">
        <v>181</v>
      </c>
      <c r="O82" s="1035">
        <v>208.1</v>
      </c>
      <c r="P82" s="1035">
        <v>213.6</v>
      </c>
      <c r="Q82" s="1035">
        <v>188.2</v>
      </c>
      <c r="R82" s="1310" t="s">
        <v>57</v>
      </c>
      <c r="S82" s="1149" t="s">
        <v>1069</v>
      </c>
      <c r="T82" s="1313">
        <f>SUM(H83:H88,I77:I82)</f>
        <v>2325.0726354453623</v>
      </c>
      <c r="U82" s="1312"/>
      <c r="AX82" s="1219"/>
      <c r="AY82" s="1220"/>
      <c r="AZ82" s="1220"/>
      <c r="BA82" s="1218"/>
      <c r="BB82" s="1218"/>
      <c r="BC82" s="1218"/>
    </row>
    <row r="83" spans="1:55" ht="16.350000000000001" customHeight="1" x14ac:dyDescent="0.25">
      <c r="A83" s="1309" t="s">
        <v>60</v>
      </c>
      <c r="B83" s="1035">
        <v>371.8</v>
      </c>
      <c r="C83" s="1035">
        <v>386.2</v>
      </c>
      <c r="D83" s="1035">
        <v>351.2</v>
      </c>
      <c r="E83" s="1035">
        <v>373.6</v>
      </c>
      <c r="F83" s="1035">
        <v>409.3</v>
      </c>
      <c r="G83" s="1035">
        <v>0</v>
      </c>
      <c r="H83" s="1035">
        <v>350.4</v>
      </c>
      <c r="I83" s="1035">
        <v>292.39999999999998</v>
      </c>
      <c r="J83" s="1035">
        <v>309.7</v>
      </c>
      <c r="K83" s="1035">
        <v>341.2</v>
      </c>
      <c r="L83" s="1035">
        <v>272.5</v>
      </c>
      <c r="M83" s="1035">
        <v>215.4</v>
      </c>
      <c r="N83" s="1035">
        <v>269</v>
      </c>
      <c r="O83" s="1035">
        <v>214.8</v>
      </c>
      <c r="P83" s="1035">
        <v>219.9</v>
      </c>
      <c r="Q83" s="1035"/>
      <c r="R83" s="1310" t="s">
        <v>60</v>
      </c>
      <c r="S83" s="1149" t="s">
        <v>1070</v>
      </c>
      <c r="T83" s="1313">
        <f>SUM(I83:I88,J77:J82)</f>
        <v>2300.2999999999997</v>
      </c>
      <c r="U83" s="1312"/>
      <c r="AX83" s="1219"/>
      <c r="AY83" s="1220"/>
      <c r="AZ83" s="1220"/>
      <c r="BA83" s="1218"/>
      <c r="BB83" s="1218"/>
      <c r="BC83" s="1218"/>
    </row>
    <row r="84" spans="1:55" ht="16.350000000000001" customHeight="1" x14ac:dyDescent="0.25">
      <c r="A84" s="1309" t="s">
        <v>62</v>
      </c>
      <c r="B84" s="1035">
        <v>300.7</v>
      </c>
      <c r="C84" s="1035">
        <v>307.7</v>
      </c>
      <c r="D84" s="1035">
        <v>308.2</v>
      </c>
      <c r="E84" s="1035">
        <v>328.8</v>
      </c>
      <c r="F84" s="1035">
        <v>363</v>
      </c>
      <c r="G84" s="1035">
        <v>0</v>
      </c>
      <c r="H84" s="1035">
        <v>307</v>
      </c>
      <c r="I84" s="1035">
        <v>265.39999999999998</v>
      </c>
      <c r="J84" s="1035">
        <v>375.9</v>
      </c>
      <c r="K84" s="1035">
        <v>334</v>
      </c>
      <c r="L84" s="1035">
        <v>313.37</v>
      </c>
      <c r="M84" s="1035">
        <v>235.8</v>
      </c>
      <c r="N84" s="1035">
        <v>243.5</v>
      </c>
      <c r="O84" s="1035">
        <v>222</v>
      </c>
      <c r="P84" s="1035">
        <v>231.9</v>
      </c>
      <c r="Q84" s="1035"/>
      <c r="R84" s="1310" t="s">
        <v>62</v>
      </c>
      <c r="S84" s="1149" t="s">
        <v>1071</v>
      </c>
      <c r="T84" s="1313">
        <f>SUM(J83:J88,K77:K82)</f>
        <v>2796.5000000000005</v>
      </c>
      <c r="U84" s="1312"/>
      <c r="AX84" s="1219"/>
      <c r="AY84" s="1220"/>
      <c r="AZ84" s="1220"/>
      <c r="BA84" s="1218"/>
      <c r="BB84" s="1218"/>
      <c r="BC84" s="1218"/>
    </row>
    <row r="85" spans="1:55" ht="16.350000000000001" customHeight="1" x14ac:dyDescent="0.25">
      <c r="A85" s="1309" t="s">
        <v>64</v>
      </c>
      <c r="B85" s="1035">
        <v>353.4</v>
      </c>
      <c r="C85" s="1035">
        <v>270.5</v>
      </c>
      <c r="D85" s="1035">
        <v>375.4</v>
      </c>
      <c r="E85" s="1035">
        <v>321.7</v>
      </c>
      <c r="F85" s="1035">
        <v>440.2</v>
      </c>
      <c r="G85" s="1035">
        <v>0</v>
      </c>
      <c r="H85" s="1035">
        <v>304.7</v>
      </c>
      <c r="I85" s="1035">
        <v>327.9</v>
      </c>
      <c r="J85" s="1035">
        <v>301.39999999999998</v>
      </c>
      <c r="K85" s="1035">
        <v>293.10000000000002</v>
      </c>
      <c r="L85" s="1035">
        <v>235.8</v>
      </c>
      <c r="M85" s="1035">
        <v>281.60000000000002</v>
      </c>
      <c r="N85" s="1035">
        <v>234.6</v>
      </c>
      <c r="O85" s="1035">
        <v>268.60000000000002</v>
      </c>
      <c r="P85" s="1035">
        <v>220.8</v>
      </c>
      <c r="Q85" s="1035"/>
      <c r="R85" s="1310" t="s">
        <v>64</v>
      </c>
      <c r="S85" s="1149" t="s">
        <v>1072</v>
      </c>
      <c r="T85" s="1313">
        <f>SUM(K83:K88,L77:L82)</f>
        <v>2943.6</v>
      </c>
      <c r="U85" s="1315"/>
      <c r="AX85" s="1219"/>
      <c r="AY85" s="1220"/>
      <c r="AZ85" s="1220"/>
      <c r="BA85" s="1218"/>
      <c r="BB85" s="1218"/>
      <c r="BC85" s="1218"/>
    </row>
    <row r="86" spans="1:55" ht="16.350000000000001" customHeight="1" x14ac:dyDescent="0.25">
      <c r="A86" s="1309" t="s">
        <v>66</v>
      </c>
      <c r="B86" s="1067">
        <v>330.9</v>
      </c>
      <c r="C86" s="1035">
        <v>248.2</v>
      </c>
      <c r="D86" s="1035">
        <v>291.10000000000002</v>
      </c>
      <c r="E86" s="1035">
        <v>239.4</v>
      </c>
      <c r="F86" s="1035">
        <v>247.9</v>
      </c>
      <c r="G86" s="1035">
        <v>0</v>
      </c>
      <c r="H86" s="1035">
        <v>300</v>
      </c>
      <c r="I86" s="1035">
        <v>173.4</v>
      </c>
      <c r="J86" s="1035">
        <v>302</v>
      </c>
      <c r="K86" s="1035">
        <v>279.5</v>
      </c>
      <c r="L86" s="1035">
        <v>271.7</v>
      </c>
      <c r="M86" s="1035">
        <v>325.60000000000002</v>
      </c>
      <c r="N86" s="1035">
        <v>177.8</v>
      </c>
      <c r="O86" s="1035">
        <v>207.9</v>
      </c>
      <c r="P86" s="1035">
        <v>173.1</v>
      </c>
      <c r="Q86" s="1035"/>
      <c r="R86" s="1310" t="s">
        <v>66</v>
      </c>
      <c r="S86" s="1149" t="s">
        <v>1073</v>
      </c>
      <c r="T86" s="1311">
        <f>SUM(L83:L88,M77:M82)</f>
        <v>2254.1600000000003</v>
      </c>
      <c r="U86" s="1315"/>
      <c r="AX86" s="1219"/>
      <c r="AY86" s="1220"/>
      <c r="AZ86" s="1220"/>
      <c r="BA86" s="1218"/>
      <c r="BB86" s="1218"/>
      <c r="BC86" s="1218"/>
    </row>
    <row r="87" spans="1:55" ht="16.350000000000001" customHeight="1" x14ac:dyDescent="0.25">
      <c r="A87" s="1309" t="s">
        <v>56</v>
      </c>
      <c r="B87" s="1067">
        <v>307.8</v>
      </c>
      <c r="C87" s="1035">
        <v>231.8</v>
      </c>
      <c r="D87" s="1035">
        <v>287.2</v>
      </c>
      <c r="E87" s="1035">
        <v>200.7</v>
      </c>
      <c r="F87" s="1035">
        <v>226.8</v>
      </c>
      <c r="G87" s="1035">
        <v>0</v>
      </c>
      <c r="H87" s="1035">
        <v>204</v>
      </c>
      <c r="I87" s="1035">
        <v>130.1</v>
      </c>
      <c r="J87" s="1035">
        <v>301.89999999999998</v>
      </c>
      <c r="K87" s="1035">
        <v>275.8</v>
      </c>
      <c r="L87" s="1035">
        <v>227.5</v>
      </c>
      <c r="M87" s="1035">
        <v>247</v>
      </c>
      <c r="N87" s="1035">
        <v>131.4</v>
      </c>
      <c r="O87" s="1035">
        <v>158</v>
      </c>
      <c r="P87" s="1035">
        <v>223</v>
      </c>
      <c r="Q87" s="1035"/>
      <c r="R87" s="1310" t="s">
        <v>56</v>
      </c>
      <c r="S87" s="1149" t="s">
        <v>1074</v>
      </c>
      <c r="T87" s="1311">
        <f>SUM(M83:M88,N77:N82)</f>
        <v>2217.3000000000002</v>
      </c>
      <c r="U87" s="1315"/>
      <c r="AX87" s="1219"/>
      <c r="AY87" s="1220"/>
      <c r="AZ87" s="1220"/>
      <c r="BA87" s="1218"/>
      <c r="BB87" s="1218"/>
      <c r="BC87" s="1218"/>
    </row>
    <row r="88" spans="1:55" ht="16.350000000000001" customHeight="1" x14ac:dyDescent="0.25">
      <c r="A88" s="1309" t="s">
        <v>59</v>
      </c>
      <c r="B88" s="1248">
        <v>277.60000000000002</v>
      </c>
      <c r="C88" s="1039">
        <v>199.3</v>
      </c>
      <c r="D88" s="1039">
        <v>159.1</v>
      </c>
      <c r="E88" s="1039">
        <v>110.4</v>
      </c>
      <c r="F88" s="1039">
        <v>168.4</v>
      </c>
      <c r="G88" s="1039">
        <v>0</v>
      </c>
      <c r="H88" s="1039">
        <f>27518/435.6</f>
        <v>63.172635445362715</v>
      </c>
      <c r="I88" s="1039">
        <v>113</v>
      </c>
      <c r="J88" s="1039">
        <v>49.2</v>
      </c>
      <c r="K88" s="1039">
        <v>170.6</v>
      </c>
      <c r="L88" s="1039">
        <v>91.4</v>
      </c>
      <c r="M88" s="1039">
        <v>237.5</v>
      </c>
      <c r="N88" s="1039">
        <v>93.1</v>
      </c>
      <c r="O88" s="1039">
        <v>210</v>
      </c>
      <c r="P88" s="1039">
        <v>45.2</v>
      </c>
      <c r="Q88" s="1039"/>
      <c r="R88" s="1249" t="s">
        <v>59</v>
      </c>
      <c r="S88" s="1149" t="s">
        <v>1075</v>
      </c>
      <c r="T88" s="1311">
        <f>SUM(N83:N88,O77:O82)</f>
        <v>1745.8999999999999</v>
      </c>
      <c r="U88" s="1315"/>
      <c r="AX88" s="1219"/>
      <c r="AY88" s="1220"/>
      <c r="AZ88" s="1220"/>
      <c r="BA88" s="1218"/>
      <c r="BB88" s="1218"/>
      <c r="BC88" s="1218"/>
    </row>
    <row r="89" spans="1:55" ht="16.350000000000001" customHeight="1" x14ac:dyDescent="0.25">
      <c r="A89" s="1309" t="s">
        <v>30</v>
      </c>
      <c r="B89" s="1316">
        <f>SUM(B77:B88)</f>
        <v>2736.4</v>
      </c>
      <c r="C89" s="1316">
        <f>SUM(C77:C88)</f>
        <v>2379.1000000000004</v>
      </c>
      <c r="D89" s="1316">
        <f t="shared" ref="D89:K89" si="4">SUM(D77:D88)</f>
        <v>3219.9</v>
      </c>
      <c r="E89" s="1316">
        <f t="shared" si="4"/>
        <v>2898.2</v>
      </c>
      <c r="F89" s="1316">
        <f t="shared" si="4"/>
        <v>2872.3</v>
      </c>
      <c r="G89" s="1316">
        <f t="shared" si="4"/>
        <v>0</v>
      </c>
      <c r="H89" s="1316">
        <f t="shared" si="4"/>
        <v>2280.772635445363</v>
      </c>
      <c r="I89" s="1316">
        <f t="shared" si="4"/>
        <v>2098</v>
      </c>
      <c r="J89" s="1316">
        <f t="shared" si="4"/>
        <v>2638.2</v>
      </c>
      <c r="K89" s="1316">
        <f t="shared" si="4"/>
        <v>2850.6000000000004</v>
      </c>
      <c r="L89" s="1316">
        <f>SUM(L77:L88)</f>
        <v>2661.67</v>
      </c>
      <c r="M89" s="1316">
        <f>SUM(M77:M88)</f>
        <v>2384.79</v>
      </c>
      <c r="N89" s="1316">
        <f>SUM(N77:N88)</f>
        <v>1823.8</v>
      </c>
      <c r="O89" s="1316">
        <f>SUM(O77:O88)</f>
        <v>1877.8000000000002</v>
      </c>
      <c r="P89" s="1316">
        <f>SUM(P77:P88)</f>
        <v>1879.3</v>
      </c>
      <c r="Q89" s="1316"/>
      <c r="R89" s="1310" t="s">
        <v>30</v>
      </c>
      <c r="S89" s="1149" t="s">
        <v>1076</v>
      </c>
      <c r="T89" s="1311">
        <f>SUM(O83:O88,P77:P82)</f>
        <v>2046.7</v>
      </c>
      <c r="U89" s="1315"/>
      <c r="AX89" s="1219"/>
      <c r="AY89" s="1220"/>
      <c r="AZ89" s="1220"/>
      <c r="BA89" s="1218"/>
      <c r="BB89" s="1218"/>
      <c r="BC89" s="1218"/>
    </row>
    <row r="90" spans="1:55" ht="16.350000000000001" customHeight="1" thickBot="1" x14ac:dyDescent="0.3">
      <c r="A90" s="1317"/>
      <c r="B90" s="1318"/>
      <c r="C90" s="1319"/>
      <c r="D90" s="1319"/>
      <c r="E90" s="1319"/>
      <c r="F90" s="1319"/>
      <c r="G90" s="1319"/>
      <c r="H90" s="1319"/>
      <c r="I90" s="1319"/>
      <c r="J90" s="1319"/>
      <c r="K90" s="1319"/>
      <c r="L90" s="1319"/>
      <c r="M90" s="1319"/>
      <c r="N90" s="1319"/>
      <c r="O90" s="1319"/>
      <c r="P90" s="1319"/>
      <c r="Q90" s="1319"/>
      <c r="R90" s="1320"/>
      <c r="S90" s="1149" t="s">
        <v>1077</v>
      </c>
      <c r="T90" s="1311">
        <f>SUM(P83:P88,Q77:Q82)</f>
        <v>1705</v>
      </c>
      <c r="U90" s="1321"/>
      <c r="AX90" s="1219"/>
      <c r="AY90" s="1220"/>
      <c r="AZ90" s="1220"/>
      <c r="BA90" s="1218"/>
      <c r="BB90" s="1218"/>
      <c r="BC90" s="1218"/>
    </row>
    <row r="91" spans="1:55" ht="30.75" customHeight="1" x14ac:dyDescent="0.2">
      <c r="A91" s="1704" t="s">
        <v>101</v>
      </c>
      <c r="B91" s="1705"/>
      <c r="C91" s="1705"/>
      <c r="D91" s="1705"/>
      <c r="E91" s="1705"/>
      <c r="F91" s="1705"/>
      <c r="G91" s="1705"/>
      <c r="H91" s="1705"/>
      <c r="I91" s="1705"/>
      <c r="J91" s="1705"/>
      <c r="K91" s="1705"/>
      <c r="L91" s="1705"/>
      <c r="M91" s="1705"/>
      <c r="N91" s="1705"/>
      <c r="O91" s="1705"/>
      <c r="P91" s="1705"/>
      <c r="Q91" s="1705"/>
      <c r="R91" s="1705"/>
      <c r="S91" s="1705"/>
      <c r="T91" s="1705"/>
      <c r="U91" s="1706"/>
      <c r="AX91" s="1219"/>
      <c r="AY91" s="1220"/>
      <c r="AZ91" s="1220"/>
      <c r="BA91" s="1218"/>
      <c r="BB91" s="1218"/>
      <c r="BC91" s="1218"/>
    </row>
    <row r="92" spans="1:55" ht="16.350000000000001" customHeight="1" x14ac:dyDescent="0.25">
      <c r="A92" s="1309"/>
      <c r="B92" s="1231" t="s">
        <v>614</v>
      </c>
      <c r="C92" s="1231" t="s">
        <v>615</v>
      </c>
      <c r="D92" s="1231" t="s">
        <v>702</v>
      </c>
      <c r="E92" s="1231" t="s">
        <v>703</v>
      </c>
      <c r="F92" s="1231" t="s">
        <v>810</v>
      </c>
      <c r="G92" s="1231" t="s">
        <v>809</v>
      </c>
      <c r="H92" s="1231" t="s">
        <v>855</v>
      </c>
      <c r="I92" s="1231" t="s">
        <v>856</v>
      </c>
      <c r="J92" s="1231" t="s">
        <v>857</v>
      </c>
      <c r="K92" s="1231" t="s">
        <v>1027</v>
      </c>
      <c r="L92" s="1231" t="s">
        <v>1028</v>
      </c>
      <c r="M92" s="1231" t="s">
        <v>1115</v>
      </c>
      <c r="N92" s="1231" t="s">
        <v>1159</v>
      </c>
      <c r="O92" s="1231" t="s">
        <v>1192</v>
      </c>
      <c r="P92" s="1231" t="s">
        <v>1232</v>
      </c>
      <c r="Q92" s="1231" t="s">
        <v>1272</v>
      </c>
      <c r="R92" s="1221" t="s">
        <v>102</v>
      </c>
      <c r="S92" s="1322"/>
      <c r="T92" s="1149" t="s">
        <v>99</v>
      </c>
      <c r="U92" s="1308" t="s">
        <v>100</v>
      </c>
      <c r="AX92" s="1219"/>
      <c r="AY92" s="1220"/>
      <c r="AZ92" s="1220"/>
      <c r="BA92" s="1218"/>
      <c r="BB92" s="1218"/>
      <c r="BC92" s="1218"/>
    </row>
    <row r="93" spans="1:55" ht="16.350000000000001" customHeight="1" x14ac:dyDescent="0.25">
      <c r="A93" s="1309" t="s">
        <v>54</v>
      </c>
      <c r="B93" s="1035">
        <v>92.6</v>
      </c>
      <c r="C93" s="1035">
        <v>55.8</v>
      </c>
      <c r="D93" s="1035">
        <v>330.7</v>
      </c>
      <c r="E93" s="1035">
        <v>29.9</v>
      </c>
      <c r="F93" s="1035">
        <v>126.1</v>
      </c>
      <c r="G93" s="1035">
        <v>0</v>
      </c>
      <c r="H93" s="1035">
        <v>95.6</v>
      </c>
      <c r="I93" s="1035">
        <v>105.6</v>
      </c>
      <c r="J93" s="1035">
        <v>119.9</v>
      </c>
      <c r="K93" s="1035">
        <v>99.6</v>
      </c>
      <c r="L93" s="1035">
        <v>164.1</v>
      </c>
      <c r="M93" s="1035">
        <v>59.9</v>
      </c>
      <c r="N93" s="1035">
        <v>25.6</v>
      </c>
      <c r="O93" s="1035">
        <v>17</v>
      </c>
      <c r="P93" s="1035">
        <v>102.6</v>
      </c>
      <c r="Q93" s="1035">
        <v>31.7</v>
      </c>
      <c r="R93" s="1310" t="s">
        <v>54</v>
      </c>
      <c r="S93" s="1149" t="s">
        <v>1064</v>
      </c>
      <c r="T93" s="1311">
        <f>SUM(R63:R68,B93:B98)</f>
        <v>1951.3999999999999</v>
      </c>
      <c r="U93" s="1312">
        <f>SUM(S63:S68,C93:C98)</f>
        <v>320.7</v>
      </c>
      <c r="AX93" s="1219"/>
      <c r="AY93" s="1220"/>
      <c r="AZ93" s="1220"/>
      <c r="BA93" s="1218"/>
      <c r="BB93" s="1218"/>
      <c r="BC93" s="1218"/>
    </row>
    <row r="94" spans="1:55" ht="16.350000000000001" customHeight="1" x14ac:dyDescent="0.25">
      <c r="A94" s="1309" t="s">
        <v>55</v>
      </c>
      <c r="B94" s="1035">
        <v>119.4</v>
      </c>
      <c r="C94" s="1035">
        <v>76.5</v>
      </c>
      <c r="D94" s="1035">
        <v>108.8</v>
      </c>
      <c r="E94" s="1035">
        <v>0</v>
      </c>
      <c r="F94" s="1035">
        <v>60.9</v>
      </c>
      <c r="G94" s="1035">
        <v>0</v>
      </c>
      <c r="H94" s="1035">
        <v>46.8</v>
      </c>
      <c r="I94" s="1035">
        <v>53.4</v>
      </c>
      <c r="J94" s="1035">
        <v>157.19999999999999</v>
      </c>
      <c r="K94" s="1035">
        <v>111.6</v>
      </c>
      <c r="L94" s="1035">
        <v>74</v>
      </c>
      <c r="M94" s="1035">
        <v>80</v>
      </c>
      <c r="N94" s="1035">
        <v>97.8</v>
      </c>
      <c r="O94" s="1035">
        <v>21.3</v>
      </c>
      <c r="P94" s="1035">
        <v>70.400000000000006</v>
      </c>
      <c r="Q94" s="1035">
        <v>25.5</v>
      </c>
      <c r="R94" s="1310" t="s">
        <v>55</v>
      </c>
      <c r="S94" s="1149" t="s">
        <v>1065</v>
      </c>
      <c r="T94" s="1311">
        <f>SUM(B99:B104,D93:D98)</f>
        <v>2666</v>
      </c>
      <c r="U94" s="1312">
        <f>SUM(C99:C104,E93:E98)</f>
        <v>544.50000000000011</v>
      </c>
      <c r="AX94" s="1219"/>
      <c r="AY94" s="1220"/>
      <c r="AZ94" s="1220"/>
      <c r="BA94" s="1218"/>
      <c r="BB94" s="1218"/>
      <c r="BC94" s="1218"/>
    </row>
    <row r="95" spans="1:55" ht="16.350000000000001" customHeight="1" x14ac:dyDescent="0.25">
      <c r="A95" s="1309" t="s">
        <v>58</v>
      </c>
      <c r="B95" s="1035">
        <v>62.6</v>
      </c>
      <c r="C95" s="1035">
        <v>0</v>
      </c>
      <c r="D95" s="1035">
        <v>136</v>
      </c>
      <c r="E95" s="1035">
        <v>20.2</v>
      </c>
      <c r="F95" s="1035">
        <v>68.400000000000006</v>
      </c>
      <c r="G95" s="1035">
        <v>0</v>
      </c>
      <c r="H95" s="1035">
        <v>61.4</v>
      </c>
      <c r="I95" s="1035">
        <v>63.7</v>
      </c>
      <c r="J95" s="1035">
        <v>38.9</v>
      </c>
      <c r="K95" s="1035">
        <v>133.9</v>
      </c>
      <c r="L95" s="1035">
        <v>116.5</v>
      </c>
      <c r="M95" s="1035">
        <v>177.2</v>
      </c>
      <c r="N95" s="1035">
        <v>61.8</v>
      </c>
      <c r="O95" s="1035">
        <v>82.2</v>
      </c>
      <c r="P95" s="1035">
        <v>40</v>
      </c>
      <c r="Q95" s="1035">
        <v>79.7</v>
      </c>
      <c r="R95" s="1310" t="s">
        <v>58</v>
      </c>
      <c r="S95" s="1149" t="s">
        <v>1066</v>
      </c>
      <c r="T95" s="1311" t="e">
        <f>SUM(D99:D104,#REF!)</f>
        <v>#REF!</v>
      </c>
      <c r="U95" s="1312" t="e">
        <f>SUM(E99:E104,#REF!)</f>
        <v>#REF!</v>
      </c>
      <c r="AX95" s="1219"/>
      <c r="AY95" s="1220"/>
      <c r="AZ95" s="1220"/>
      <c r="BA95" s="1218"/>
      <c r="BB95" s="1218"/>
      <c r="BC95" s="1218"/>
    </row>
    <row r="96" spans="1:55" ht="16.350000000000001" customHeight="1" x14ac:dyDescent="0.25">
      <c r="A96" s="1309" t="s">
        <v>61</v>
      </c>
      <c r="B96" s="1035">
        <v>90.6</v>
      </c>
      <c r="C96" s="1035">
        <v>0</v>
      </c>
      <c r="D96" s="1035">
        <v>130</v>
      </c>
      <c r="E96" s="1035">
        <v>0</v>
      </c>
      <c r="F96" s="1035">
        <v>130.69999999999999</v>
      </c>
      <c r="G96" s="1035">
        <v>0</v>
      </c>
      <c r="H96" s="1035">
        <v>52.9</v>
      </c>
      <c r="I96" s="1035">
        <v>167.9</v>
      </c>
      <c r="J96" s="1035">
        <v>72.900000000000006</v>
      </c>
      <c r="K96" s="1035">
        <v>169.1</v>
      </c>
      <c r="L96" s="1035">
        <v>214.9</v>
      </c>
      <c r="M96" s="1035">
        <v>204</v>
      </c>
      <c r="N96" s="1035">
        <v>103.5</v>
      </c>
      <c r="O96" s="1035">
        <v>106.3</v>
      </c>
      <c r="P96" s="1035">
        <v>113</v>
      </c>
      <c r="Q96" s="1035">
        <v>100.7</v>
      </c>
      <c r="R96" s="1310" t="s">
        <v>61</v>
      </c>
      <c r="S96" s="1149" t="s">
        <v>1067</v>
      </c>
      <c r="T96" s="1311" t="e">
        <f>SUM(#REF!,F93:F98)</f>
        <v>#REF!</v>
      </c>
      <c r="U96" s="1312" t="e">
        <f>SUM(#REF!)</f>
        <v>#REF!</v>
      </c>
      <c r="AX96" s="1219"/>
      <c r="AY96" s="1220"/>
      <c r="AZ96" s="1220"/>
      <c r="BA96" s="1218"/>
      <c r="BB96" s="1218"/>
      <c r="BC96" s="1218"/>
    </row>
    <row r="97" spans="1:55" ht="16.350000000000001" customHeight="1" x14ac:dyDescent="0.25">
      <c r="A97" s="1309" t="s">
        <v>63</v>
      </c>
      <c r="B97" s="1035">
        <v>118</v>
      </c>
      <c r="C97" s="1035">
        <v>0</v>
      </c>
      <c r="D97" s="1035">
        <v>208.7</v>
      </c>
      <c r="E97" s="1035">
        <v>0</v>
      </c>
      <c r="F97" s="1035">
        <v>255</v>
      </c>
      <c r="G97" s="1035">
        <v>0</v>
      </c>
      <c r="H97" s="1035">
        <v>144.19999999999999</v>
      </c>
      <c r="I97" s="1035">
        <v>194.8</v>
      </c>
      <c r="J97" s="1035">
        <v>249.8</v>
      </c>
      <c r="K97" s="1035">
        <v>267.10000000000002</v>
      </c>
      <c r="L97" s="1035">
        <v>184.4</v>
      </c>
      <c r="M97" s="1035">
        <v>120.5</v>
      </c>
      <c r="N97" s="1035">
        <v>106</v>
      </c>
      <c r="O97" s="1035">
        <v>152.9</v>
      </c>
      <c r="P97" s="1035">
        <v>158.80000000000001</v>
      </c>
      <c r="Q97" s="1035">
        <v>116.8</v>
      </c>
      <c r="R97" s="1310" t="s">
        <v>63</v>
      </c>
      <c r="S97" s="1149" t="s">
        <v>1068</v>
      </c>
      <c r="T97" s="1313">
        <f>SUM(F99:F104,H93:H98)</f>
        <v>2096.7000000000003</v>
      </c>
      <c r="U97" s="1314"/>
      <c r="AX97" s="1219"/>
      <c r="AY97" s="1220"/>
      <c r="AZ97" s="1220"/>
      <c r="BA97" s="1218"/>
      <c r="BB97" s="1218"/>
      <c r="BC97" s="1218"/>
    </row>
    <row r="98" spans="1:55" ht="16.350000000000001" customHeight="1" x14ac:dyDescent="0.25">
      <c r="A98" s="1309" t="s">
        <v>57</v>
      </c>
      <c r="B98" s="1035">
        <v>173.5</v>
      </c>
      <c r="C98" s="1035">
        <v>0</v>
      </c>
      <c r="D98" s="1035">
        <v>235.8</v>
      </c>
      <c r="E98" s="1035">
        <v>0</v>
      </c>
      <c r="F98" s="1035">
        <v>231</v>
      </c>
      <c r="G98" s="1035">
        <v>0</v>
      </c>
      <c r="H98" s="1035">
        <v>139.80000000000001</v>
      </c>
      <c r="I98" s="1035">
        <v>225.9</v>
      </c>
      <c r="J98" s="1035">
        <v>205.7</v>
      </c>
      <c r="K98" s="1035">
        <v>201.4</v>
      </c>
      <c r="L98" s="1035">
        <v>183.1</v>
      </c>
      <c r="M98" s="1035">
        <v>155.69999999999999</v>
      </c>
      <c r="N98" s="1035">
        <v>158</v>
      </c>
      <c r="O98" s="1035">
        <v>141.4</v>
      </c>
      <c r="P98" s="1035">
        <v>155.80000000000001</v>
      </c>
      <c r="Q98" s="1035">
        <v>133.4</v>
      </c>
      <c r="R98" s="1310" t="s">
        <v>57</v>
      </c>
      <c r="S98" s="1149" t="s">
        <v>1069</v>
      </c>
      <c r="T98" s="1313">
        <f>SUM(H99:H104,I93:I98)</f>
        <v>1893.4483930211204</v>
      </c>
      <c r="U98" s="1314"/>
      <c r="AX98" s="1219"/>
      <c r="AY98" s="1220"/>
      <c r="AZ98" s="1220"/>
      <c r="BA98" s="1218"/>
      <c r="BB98" s="1218"/>
      <c r="BC98" s="1218"/>
    </row>
    <row r="99" spans="1:55" ht="16.350000000000001" customHeight="1" x14ac:dyDescent="0.25">
      <c r="A99" s="1309" t="s">
        <v>60</v>
      </c>
      <c r="B99" s="1035">
        <v>264.89999999999998</v>
      </c>
      <c r="C99" s="1035">
        <v>138</v>
      </c>
      <c r="D99" s="1035">
        <v>258.3</v>
      </c>
      <c r="E99" s="1035">
        <v>0</v>
      </c>
      <c r="F99" s="1035">
        <v>321</v>
      </c>
      <c r="G99" s="1035">
        <v>0</v>
      </c>
      <c r="H99" s="1035">
        <v>276.60000000000002</v>
      </c>
      <c r="I99" s="1035">
        <v>231.8</v>
      </c>
      <c r="J99" s="1035">
        <v>300.89999999999998</v>
      </c>
      <c r="K99" s="1035">
        <v>236.2</v>
      </c>
      <c r="L99" s="1035">
        <v>238.7</v>
      </c>
      <c r="M99" s="1035">
        <v>197</v>
      </c>
      <c r="N99" s="1035">
        <v>139</v>
      </c>
      <c r="O99" s="1035">
        <v>139</v>
      </c>
      <c r="P99" s="1035">
        <v>185.4</v>
      </c>
      <c r="Q99" s="1035"/>
      <c r="R99" s="1310" t="s">
        <v>60</v>
      </c>
      <c r="S99" s="1149" t="s">
        <v>1070</v>
      </c>
      <c r="T99" s="1313">
        <f>SUM(I99:I104,J93:J98)</f>
        <v>1859.5000000000002</v>
      </c>
      <c r="U99" s="1314"/>
      <c r="AX99" s="1219"/>
      <c r="AY99" s="1220"/>
      <c r="AZ99" s="1220"/>
      <c r="BA99" s="1218"/>
      <c r="BB99" s="1218"/>
      <c r="BC99" s="1218"/>
    </row>
    <row r="100" spans="1:55" ht="16.350000000000001" customHeight="1" x14ac:dyDescent="0.25">
      <c r="A100" s="1309" t="s">
        <v>62</v>
      </c>
      <c r="B100" s="1035">
        <v>250.7</v>
      </c>
      <c r="C100" s="1035">
        <v>122.2</v>
      </c>
      <c r="D100" s="1035">
        <v>259</v>
      </c>
      <c r="E100" s="1035">
        <v>0</v>
      </c>
      <c r="F100" s="1035">
        <v>295.60000000000002</v>
      </c>
      <c r="G100" s="1035">
        <v>0</v>
      </c>
      <c r="H100" s="1035">
        <v>256.2</v>
      </c>
      <c r="I100" s="1035">
        <v>270.89999999999998</v>
      </c>
      <c r="J100" s="1035">
        <v>227.8</v>
      </c>
      <c r="K100" s="1035">
        <v>194.6</v>
      </c>
      <c r="L100" s="1035">
        <v>183.8</v>
      </c>
      <c r="M100" s="1035">
        <v>211.1</v>
      </c>
      <c r="N100" s="1035">
        <v>162.5</v>
      </c>
      <c r="O100" s="1035">
        <v>186.3</v>
      </c>
      <c r="P100" s="1035">
        <v>217.5</v>
      </c>
      <c r="Q100" s="1035"/>
      <c r="R100" s="1310" t="s">
        <v>62</v>
      </c>
      <c r="S100" s="1149" t="s">
        <v>1071</v>
      </c>
      <c r="T100" s="1313">
        <f>SUM(J99:J104,K93:K98)</f>
        <v>1994.1</v>
      </c>
      <c r="U100" s="1314"/>
      <c r="AX100" s="1219"/>
      <c r="AY100" s="1220"/>
      <c r="AZ100" s="1220"/>
      <c r="BA100" s="1218"/>
      <c r="BB100" s="1218"/>
      <c r="BC100" s="1218"/>
    </row>
    <row r="101" spans="1:55" ht="16.350000000000001" customHeight="1" x14ac:dyDescent="0.25">
      <c r="A101" s="1309" t="s">
        <v>64</v>
      </c>
      <c r="B101" s="1035">
        <v>287.5</v>
      </c>
      <c r="C101" s="1035">
        <v>91.8</v>
      </c>
      <c r="D101" s="1035">
        <v>307.8</v>
      </c>
      <c r="E101" s="1035">
        <v>0</v>
      </c>
      <c r="F101" s="1035">
        <v>386.9</v>
      </c>
      <c r="G101" s="1035">
        <v>0</v>
      </c>
      <c r="H101" s="1035">
        <v>224.3</v>
      </c>
      <c r="I101" s="1035">
        <v>155.6</v>
      </c>
      <c r="J101" s="1035">
        <v>202.6</v>
      </c>
      <c r="K101" s="1035">
        <v>192.6</v>
      </c>
      <c r="L101" s="1035">
        <v>195.8</v>
      </c>
      <c r="M101" s="1035">
        <v>267.2</v>
      </c>
      <c r="N101" s="1035">
        <v>147.30000000000001</v>
      </c>
      <c r="O101" s="1035">
        <v>130.1</v>
      </c>
      <c r="P101" s="1035">
        <v>139.6</v>
      </c>
      <c r="Q101" s="1035"/>
      <c r="R101" s="1310" t="s">
        <v>64</v>
      </c>
      <c r="S101" s="1149" t="s">
        <v>1072</v>
      </c>
      <c r="T101" s="1313">
        <f>SUM(K99:K104,L93:L98)</f>
        <v>1990.2</v>
      </c>
      <c r="U101" s="1323"/>
      <c r="AX101" s="1219"/>
      <c r="AY101" s="1220"/>
      <c r="AZ101" s="1220"/>
      <c r="BA101" s="1218"/>
      <c r="BB101" s="1218"/>
      <c r="BC101" s="1218"/>
    </row>
    <row r="102" spans="1:55" ht="16.350000000000001" customHeight="1" x14ac:dyDescent="0.25">
      <c r="A102" s="1309" t="s">
        <v>66</v>
      </c>
      <c r="B102" s="1035">
        <v>273.39999999999998</v>
      </c>
      <c r="C102" s="1035">
        <v>79.5</v>
      </c>
      <c r="D102" s="1035">
        <v>303.60000000000002</v>
      </c>
      <c r="E102" s="1035">
        <v>67.599999999999994</v>
      </c>
      <c r="F102" s="1035">
        <v>229.3</v>
      </c>
      <c r="G102" s="1035">
        <v>0</v>
      </c>
      <c r="H102" s="1035">
        <v>79.3</v>
      </c>
      <c r="I102" s="1035">
        <v>147.9</v>
      </c>
      <c r="J102" s="1035">
        <v>204.5</v>
      </c>
      <c r="K102" s="1035">
        <v>201.3</v>
      </c>
      <c r="L102" s="1035">
        <v>172.5</v>
      </c>
      <c r="M102" s="1035">
        <v>191.1</v>
      </c>
      <c r="N102" s="1035">
        <v>102.7</v>
      </c>
      <c r="O102" s="1035">
        <v>133.19999999999999</v>
      </c>
      <c r="P102" s="1035">
        <v>181.3</v>
      </c>
      <c r="Q102" s="1035"/>
      <c r="R102" s="1310" t="s">
        <v>66</v>
      </c>
      <c r="S102" s="1149" t="s">
        <v>1073</v>
      </c>
      <c r="T102" s="1311">
        <f>SUM(L99:L104,M93:M98)</f>
        <v>1772.9</v>
      </c>
      <c r="U102" s="1323"/>
      <c r="AX102" s="1219"/>
      <c r="AY102" s="1220"/>
      <c r="AZ102" s="1220"/>
      <c r="BA102" s="1218"/>
      <c r="BB102" s="1218"/>
      <c r="BC102" s="1218"/>
    </row>
    <row r="103" spans="1:55" ht="16.350000000000001" customHeight="1" x14ac:dyDescent="0.25">
      <c r="A103" s="1309" t="s">
        <v>56</v>
      </c>
      <c r="B103" s="1035">
        <v>249.7</v>
      </c>
      <c r="C103" s="1035">
        <v>57.3</v>
      </c>
      <c r="D103" s="1035">
        <v>276.8</v>
      </c>
      <c r="E103" s="1035">
        <v>134.30000000000001</v>
      </c>
      <c r="F103" s="1035">
        <v>230.2</v>
      </c>
      <c r="G103" s="1035">
        <v>0</v>
      </c>
      <c r="H103" s="1035">
        <f>64934/435.6</f>
        <v>149.06795224977043</v>
      </c>
      <c r="I103" s="1035">
        <v>88.3</v>
      </c>
      <c r="J103" s="1035">
        <v>55.8</v>
      </c>
      <c r="K103" s="1035">
        <v>99.1</v>
      </c>
      <c r="L103" s="1035">
        <v>119.5</v>
      </c>
      <c r="M103" s="1035">
        <v>169.8</v>
      </c>
      <c r="N103" s="1035">
        <v>97.7</v>
      </c>
      <c r="O103" s="1035">
        <v>180.1</v>
      </c>
      <c r="P103" s="1035">
        <v>66.7</v>
      </c>
      <c r="Q103" s="1035"/>
      <c r="R103" s="1310" t="s">
        <v>56</v>
      </c>
      <c r="S103" s="1149" t="s">
        <v>1074</v>
      </c>
      <c r="T103" s="1311">
        <f>SUM(M99:M104,N93:N98)</f>
        <v>1657.1999999999998</v>
      </c>
      <c r="U103" s="1323"/>
      <c r="AX103" s="1219"/>
      <c r="AY103" s="1220"/>
      <c r="AZ103" s="1220"/>
      <c r="BA103" s="1218"/>
      <c r="BB103" s="1218"/>
      <c r="BC103" s="1218"/>
    </row>
    <row r="104" spans="1:55" ht="16.350000000000001" customHeight="1" x14ac:dyDescent="0.25">
      <c r="A104" s="1309" t="s">
        <v>59</v>
      </c>
      <c r="B104" s="1039">
        <v>189.8</v>
      </c>
      <c r="C104" s="1039">
        <v>5.6</v>
      </c>
      <c r="D104" s="1039">
        <v>136</v>
      </c>
      <c r="E104" s="1039">
        <v>40.9</v>
      </c>
      <c r="F104" s="1039">
        <v>93</v>
      </c>
      <c r="G104" s="1039">
        <v>0</v>
      </c>
      <c r="H104" s="1039">
        <f>(2422+4795+8653+11001+314+8619+6050+74+186)/435.6</f>
        <v>96.680440771349851</v>
      </c>
      <c r="I104" s="1039">
        <v>120.6</v>
      </c>
      <c r="J104" s="1039">
        <v>19.8</v>
      </c>
      <c r="K104" s="1039">
        <v>129.4</v>
      </c>
      <c r="L104" s="1039">
        <v>65.3</v>
      </c>
      <c r="M104" s="1039">
        <v>68.3</v>
      </c>
      <c r="N104" s="1039">
        <v>18.100000000000001</v>
      </c>
      <c r="O104" s="1039">
        <v>108.5</v>
      </c>
      <c r="P104" s="1039">
        <v>53.2</v>
      </c>
      <c r="Q104" s="1039"/>
      <c r="R104" s="1249" t="s">
        <v>59</v>
      </c>
      <c r="S104" s="1149" t="s">
        <v>1075</v>
      </c>
      <c r="T104" s="1311">
        <f>SUM(N99:N104,O93:O98)</f>
        <v>1188.4000000000001</v>
      </c>
      <c r="U104" s="1323"/>
      <c r="AX104" s="1219"/>
      <c r="AY104" s="1220"/>
      <c r="AZ104" s="1220"/>
      <c r="BA104" s="1218"/>
      <c r="BB104" s="1218"/>
      <c r="BC104" s="1218"/>
    </row>
    <row r="105" spans="1:55" ht="16.350000000000001" customHeight="1" x14ac:dyDescent="0.25">
      <c r="A105" s="1532" t="s">
        <v>30</v>
      </c>
      <c r="B105" s="1316">
        <f>SUM(B93:B104)</f>
        <v>2172.6999999999998</v>
      </c>
      <c r="C105" s="1316">
        <f>SUM(C93:C104)</f>
        <v>626.69999999999993</v>
      </c>
      <c r="D105" s="1316">
        <f t="shared" ref="D105:K105" si="5">SUM(D93:D104)</f>
        <v>2691.5</v>
      </c>
      <c r="E105" s="1316">
        <f t="shared" si="5"/>
        <v>292.89999999999998</v>
      </c>
      <c r="F105" s="1316">
        <f t="shared" si="5"/>
        <v>2428.1</v>
      </c>
      <c r="G105" s="1316">
        <f t="shared" si="5"/>
        <v>0</v>
      </c>
      <c r="H105" s="1316">
        <f t="shared" si="5"/>
        <v>1622.84839302112</v>
      </c>
      <c r="I105" s="1316">
        <f t="shared" si="5"/>
        <v>1826.3999999999999</v>
      </c>
      <c r="J105" s="1316">
        <f t="shared" si="5"/>
        <v>1855.8</v>
      </c>
      <c r="K105" s="1316">
        <f t="shared" si="5"/>
        <v>2035.8999999999999</v>
      </c>
      <c r="L105" s="1316">
        <f>SUM(L93:L104)</f>
        <v>1912.6</v>
      </c>
      <c r="M105" s="1316">
        <f>SUM(M93:M104)</f>
        <v>1901.7999999999997</v>
      </c>
      <c r="N105" s="1316">
        <f>SUM(N93:N104)</f>
        <v>1220</v>
      </c>
      <c r="O105" s="1316">
        <f>SUM(O93:O104)</f>
        <v>1398.3</v>
      </c>
      <c r="P105" s="1316">
        <f>SUM(P93:P104)</f>
        <v>1484.3</v>
      </c>
      <c r="Q105" s="1316"/>
      <c r="R105" s="1310" t="s">
        <v>30</v>
      </c>
      <c r="S105" s="1149" t="s">
        <v>1076</v>
      </c>
      <c r="T105" s="1311">
        <f>SUM(O99:O104,P93:P98)</f>
        <v>1517.8</v>
      </c>
      <c r="U105" s="1323"/>
      <c r="AX105" s="1219"/>
      <c r="AY105" s="1220"/>
      <c r="AZ105" s="1220"/>
      <c r="BA105" s="1218"/>
      <c r="BB105" s="1218"/>
      <c r="BC105" s="1218"/>
    </row>
    <row r="106" spans="1:55" ht="16.350000000000001" customHeight="1" thickBot="1" x14ac:dyDescent="0.3">
      <c r="A106" s="1324"/>
      <c r="B106" s="1324"/>
      <c r="C106" s="1324"/>
      <c r="D106" s="1324"/>
      <c r="E106" s="1324"/>
      <c r="F106" s="1324"/>
      <c r="G106" s="1324"/>
      <c r="H106" s="1324"/>
      <c r="I106" s="1324"/>
      <c r="J106" s="1324"/>
      <c r="K106" s="1324"/>
      <c r="L106" s="1324"/>
      <c r="M106" s="1324"/>
      <c r="N106" s="1324"/>
      <c r="O106" s="1324"/>
      <c r="P106" s="1324"/>
      <c r="Q106" s="1324"/>
      <c r="R106" s="1325"/>
      <c r="S106" s="1533" t="s">
        <v>1077</v>
      </c>
      <c r="T106" s="1534">
        <f>SUM(P99:P104,Q93:Q98)</f>
        <v>1331.5000000000002</v>
      </c>
      <c r="U106" s="1321"/>
      <c r="AX106" s="1219"/>
      <c r="AY106" s="1220"/>
      <c r="AZ106" s="1220"/>
      <c r="BA106" s="1218"/>
      <c r="BB106" s="1218"/>
      <c r="BC106" s="1218"/>
    </row>
    <row r="107" spans="1:55" ht="16.350000000000001" customHeight="1" x14ac:dyDescent="0.25">
      <c r="A107" s="1246"/>
      <c r="B107" s="1250"/>
      <c r="C107" s="1250"/>
      <c r="D107" s="1250"/>
      <c r="E107" s="1246"/>
      <c r="F107" s="1246"/>
      <c r="G107" s="1246"/>
    </row>
    <row r="108" spans="1:55" ht="16.350000000000001" customHeight="1" x14ac:dyDescent="0.25">
      <c r="B108" s="1241"/>
      <c r="C108" s="1241"/>
      <c r="D108" s="1241"/>
      <c r="E108" s="1241"/>
      <c r="F108" s="1241"/>
      <c r="G108" s="1241"/>
    </row>
    <row r="109" spans="1:55" ht="16.350000000000001" customHeight="1" x14ac:dyDescent="0.25">
      <c r="A109" s="1230"/>
      <c r="B109" s="1230"/>
      <c r="C109" s="1230"/>
      <c r="D109" s="1230"/>
      <c r="E109" s="1230"/>
      <c r="F109" s="1230"/>
      <c r="G109" s="1230"/>
      <c r="H109" s="1230"/>
      <c r="U109" s="1230"/>
    </row>
    <row r="110" spans="1:55" ht="16.350000000000001" customHeight="1" x14ac:dyDescent="0.25">
      <c r="A110" s="1230"/>
      <c r="B110" s="1230"/>
      <c r="C110" s="1230"/>
      <c r="D110" s="1230"/>
      <c r="E110" s="1230"/>
      <c r="F110" s="1230"/>
      <c r="G110" s="1230"/>
      <c r="H110" s="1230"/>
      <c r="U110" s="1230"/>
    </row>
    <row r="174" spans="32:32" ht="16.350000000000001" customHeight="1" x14ac:dyDescent="0.2">
      <c r="AF174" s="1218">
        <v>541.70000000000005</v>
      </c>
    </row>
    <row r="175" spans="32:32" ht="16.350000000000001" customHeight="1" x14ac:dyDescent="0.2">
      <c r="AF175" s="1218">
        <f>996.6-AE174</f>
        <v>996.6</v>
      </c>
    </row>
  </sheetData>
  <mergeCells count="2">
    <mergeCell ref="A75:U75"/>
    <mergeCell ref="A91:U91"/>
  </mergeCells>
  <printOptions horizontalCentered="1" verticalCentered="1"/>
  <pageMargins left="0.45" right="0.45" top="0.5" bottom="0.5" header="0.8" footer="0.3"/>
  <pageSetup scale="65" orientation="landscape" r:id="rId1"/>
  <headerFooter>
    <oddHeader>&amp;C&amp;"Arial,Bold"&amp;16VCWWD Agricultural Consumption Recap (AF)</oddHeader>
    <oddFooter>&amp;L&amp;"Arial,Regular"&amp;10MONTHLY PRODUCTION /&amp;F (AG Rpt).xls&amp;R&amp;"Arial,Regular"&amp;10&amp;D</oddFooter>
  </headerFooter>
  <rowBreaks count="1" manualBreakCount="1">
    <brk id="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14</vt:i4>
      </vt:variant>
    </vt:vector>
  </HeadingPairs>
  <TitlesOfParts>
    <vt:vector size="32" baseType="lpstr">
      <vt:lpstr>Wellrd</vt:lpstr>
      <vt:lpstr>Prod Data</vt:lpstr>
      <vt:lpstr>Tier I Avail</vt:lpstr>
      <vt:lpstr>Loc Rpt</vt:lpstr>
      <vt:lpstr>totrpt 1,19</vt:lpstr>
      <vt:lpstr>totrpt2</vt:lpstr>
      <vt:lpstr>SCE Charges</vt:lpstr>
      <vt:lpstr>HiLoFlow</vt:lpstr>
      <vt:lpstr>AgRpt</vt:lpstr>
      <vt:lpstr>Dist 1 Trends</vt:lpstr>
      <vt:lpstr>Dist 19 Trends</vt:lpstr>
      <vt:lpstr>Dist 17 Trends</vt:lpstr>
      <vt:lpstr>LSCSD Trends</vt:lpstr>
      <vt:lpstr>GMA Allocs</vt:lpstr>
      <vt:lpstr>GMA Trans CMWD</vt:lpstr>
      <vt:lpstr>PWRR</vt:lpstr>
      <vt:lpstr>PRINT</vt:lpstr>
      <vt:lpstr>scratchpad</vt:lpstr>
      <vt:lpstr>AgRpt!Print_Area</vt:lpstr>
      <vt:lpstr>'Dist 1 Trends'!Print_Area</vt:lpstr>
      <vt:lpstr>'Dist 17 Trends'!Print_Area</vt:lpstr>
      <vt:lpstr>'Dist 19 Trends'!Print_Area</vt:lpstr>
      <vt:lpstr>'Loc Rpt'!Print_Area</vt:lpstr>
      <vt:lpstr>'LSCSD Trends'!Print_Area</vt:lpstr>
      <vt:lpstr>PWRR!Print_Area</vt:lpstr>
      <vt:lpstr>'SCE Charges'!Print_Area</vt:lpstr>
      <vt:lpstr>'Tier I Avail'!Print_Area</vt:lpstr>
      <vt:lpstr>'totrpt 1,19'!Print_Area</vt:lpstr>
      <vt:lpstr>totrpt2!Print_Area</vt:lpstr>
      <vt:lpstr>Wellrd!Print_Area</vt:lpstr>
      <vt:lpstr>AgRpt!Print_Titles</vt:lpstr>
      <vt:lpstr>'SCE Charges'!Print_Titles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Production File</dc:title>
  <dc:creator>Anil H. Patel, MBA, CNE</dc:creator>
  <cp:lastModifiedBy>Smith, Elizabeth</cp:lastModifiedBy>
  <cp:lastPrinted>2019-09-06T22:31:23Z</cp:lastPrinted>
  <dcterms:created xsi:type="dcterms:W3CDTF">1999-11-30T17:38:24Z</dcterms:created>
  <dcterms:modified xsi:type="dcterms:W3CDTF">2019-10-08T18:54:07Z</dcterms:modified>
</cp:coreProperties>
</file>